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8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<sst xmlns="http://schemas.openxmlformats.org/spreadsheetml/2006/main" count="4319" uniqueCount="1001">
  <si>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</si>
  <si>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</si>
  <si>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</si>
  <si>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</si>
  <si>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</si>
  <si>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</si>
  <si>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</si>
  <si>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</si>
  <si>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</si>
  <si>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</si>
  <si>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</si>
  <si>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</si>
  <si>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</si>
  <si>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</si>
  <si>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</si>
  <si>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</si>
  <si>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</si>
  <si>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</si>
  <si>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</si>
  <si>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</si>
  <si>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</si>
  <si>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</si>
  <si>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</si>
  <si>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</si>
  <si>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</si>
  <si>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</si>
  <si>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</si>
  <si>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</si>
  <si>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</si>
  <si>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</si>
  <si>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</si>
  <si>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</si>
  <si>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</si>
  <si>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</si>
  <si>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</si>
  <si>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</si>
  <si>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</si>
  <si>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</si>
  <si>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</si>
  <si>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</si>
  <si>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</si>
  <si>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</si>
  <si>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</si>
  <si>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</si>
  <si>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</si>
  <si>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</si>
  <si>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</si>
  <si>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</si>
  <si>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</si>
  <si>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</si>
  <si>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</si>
  <si>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</si>
  <si>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</si>
  <si>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</si>
  <si>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</si>
  <si>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</si>
  <si>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</si>
  <si>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</si>
  <si>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</si>
  <si>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</si>
  <si>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</si>
  <si>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</si>
  <si>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</si>
  <si>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</si>
  <si>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</si>
  <si>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</si>
  <si>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</si>
  <si>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</si>
  <si>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</si>
  <si>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</si>
  <si>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</si>
  <si>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</si>
  <si>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</si>
  <si>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</si>
  <si>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</si>
  <si>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</si>
  <si>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</si>
  <si>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</si>
  <si>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</si>
  <si>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</si>
  <si>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</si>
  <si>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</si>
  <si>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</si>
  <si>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</si>
  <si>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</si>
  <si>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</si>
  <si>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</si>
  <si>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</si>
  <si>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</si>
  <si>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</si>
  <si>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</si>
  <si>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</si>
  <si>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</si>
  <si>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</si>
  <si>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</si>
  <si>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</si>
  <si>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</si>
  <si>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</si>
  <si>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</si>
  <si>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</si>
  <si>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</si>
  <si>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</si>
  <si>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</si>
  <si>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</si>
  <si>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</si>
  <si>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</si>
  <si>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</si>
  <si>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</si>
  <si>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</si>
  <si>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</si>
  <si>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</si>
  <si>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</si>
  <si>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</si>
  <si>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</si>
  <si>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</si>
  <si>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</si>
  <si>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</si>
  <si>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</si>
  <si>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</si>
  <si>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</si>
  <si>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</si>
  <si>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</si>
  <si>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</si>
  <si>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</si>
  <si>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</si>
  <si>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</si>
  <si>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</si>
  <si>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</si>
  <si>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</si>
  <si>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</si>
  <si>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</si>
  <si>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</si>
  <si>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</si>
  <si>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</si>
  <si>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</si>
  <si>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</si>
  <si>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</si>
  <si>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</si>
  <si>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</si>
  <si>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</si>
  <si>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</si>
  <si>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</si>
  <si>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</si>
  <si>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</si>
  <si>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</si>
  <si>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</si>
  <si>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</si>
  <si>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</si>
  <si>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</si>
  <si>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</si>
  <si>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</si>
  <si>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</si>
  <si>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</si>
  <si>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</si>
  <si>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</si>
  <si>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</si>
  <si>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</si>
  <si>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</si>
  <si>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</si>
  <si>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</si>
  <si>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</si>
  <si>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</si>
  <si>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</si>
  <si>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</si>
  <si>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</si>
  <si>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</si>
  <si>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</si>
  <si>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</si>
  <si>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</si>
  <si>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</si>
  <si>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</si>
  <si>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</si>
  <si>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</si>
  <si>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</si>
  <si>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</si>
  <si>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</si>
  <si>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</si>
  <si>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</si>
  <si>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</si>
  <si>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</si>
  <si>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</si>
  <si>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</si>
  <si>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</si>
  <si>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</si>
  <si>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</si>
  <si>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</si>
  <si>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</si>
  <si>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</si>
  <si>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</si>
  <si>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</si>
  <si>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</si>
  <si>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</si>
  <si>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</si>
  <si>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</si>
  <si>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</si>
  <si>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</si>
  <si>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</si>
  <si>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</si>
  <si>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</si>
  <si>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</si>
  <si>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</si>
  <si>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</si>
  <si>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</si>
  <si>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</si>
  <si>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</si>
  <si>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</si>
  <si>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</si>
  <si>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</si>
  <si>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</si>
  <si>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</si>
  <si>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</si>
  <si>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</si>
  <si>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</si>
  <si>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</si>
  <si>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</si>
  <si>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</si>
  <si>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</si>
  <si>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</si>
  <si>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</si>
  <si>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</si>
  <si>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</si>
  <si>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</si>
  <si>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</si>
  <si>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</si>
  <si>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</si>
  <si>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</si>
  <si>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</si>
  <si>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</si>
  <si>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</si>
  <si>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</si>
  <si>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</si>
  <si>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</si>
  <si>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</si>
  <si>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</si>
  <si>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</si>
  <si>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</si>
  <si>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</si>
  <si>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</si>
  <si>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</si>
  <si>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</si>
  <si>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</si>
  <si>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</si>
  <si>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</si>
  <si>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</si>
  <si>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</si>
  <si>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</si>
  <si>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</si>
  <si>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</si>
  <si>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</si>
  <si>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</si>
  <si>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</si>
  <si>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</si>
  <si>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</si>
  <si>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</si>
  <si>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</si>
  <si>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</si>
  <si>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</si>
  <si>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</si>
  <si>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</si>
  <si>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</si>
  <si>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</si>
  <si>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</si>
  <si>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</si>
  <si>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</si>
  <si>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</si>
  <si>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</si>
  <si>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</si>
  <si>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</si>
  <si>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</si>
  <si>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</si>
  <si>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</si>
  <si>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</si>
  <si>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</si>
  <si>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</si>
  <si>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</si>
  <si>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</si>
  <si>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</si>
  <si>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</si>
  <si>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</si>
  <si>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</si>
  <si>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</si>
  <si>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</si>
  <si>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</si>
  <si>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</si>
  <si>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</si>
  <si>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</si>
  <si>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</si>
  <si>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</si>
  <si>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</si>
  <si>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</si>
  <si>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</si>
  <si>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</si>
  <si>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</si>
  <si>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</si>
  <si>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</si>
  <si>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</si>
  <si>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</si>
  <si>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</si>
  <si>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</si>
  <si>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</si>
  <si>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</si>
  <si>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</si>
  <si>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</si>
  <si>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</si>
  <si>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</si>
  <si>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</si>
  <si>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</si>
  <si>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</si>
  <si>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</si>
  <si>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</si>
  <si>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</si>
  <si>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</si>
  <si>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</si>
  <si>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</si>
  <si>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</si>
  <si>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</si>
  <si>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</si>
  <si>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</si>
  <si>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</si>
  <si>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</si>
  <si>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</si>
  <si>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</si>
  <si>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</si>
  <si>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</si>
  <si>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</si>
  <si>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</si>
  <si>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</si>
  <si>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</si>
  <si>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</si>
  <si>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</si>
  <si>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</si>
  <si>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</si>
  <si>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</si>
  <si>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</si>
  <si>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</si>
  <si>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</si>
  <si>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</si>
  <si>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</si>
  <si>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</si>
  <si>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</si>
  <si>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</si>
  <si>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</si>
  <si>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</si>
  <si>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</si>
  <si>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</si>
  <si>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</si>
  <si>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</si>
  <si>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</si>
  <si>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</si>
  <si>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</si>
  <si>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</si>
  <si>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</si>
  <si>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</si>
  <si>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</si>
  <si>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</si>
  <si>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</si>
  <si>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</si>
  <si>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</si>
  <si>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</si>
  <si>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</si>
  <si>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</si>
  <si>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</si>
  <si>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</si>
  <si>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</si>
  <si>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</si>
  <si>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</si>
  <si>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</si>
  <si>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</si>
  <si>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</si>
  <si>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</si>
  <si>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</si>
  <si>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</si>
  <si>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</si>
  <si>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</si>
  <si>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</si>
  <si>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</si>
  <si>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</si>
  <si>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</si>
  <si>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</si>
  <si>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</si>
  <si>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</si>
  <si>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</si>
  <si>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</si>
  <si>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</si>
  <si>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</si>
  <si>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</si>
  <si>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</si>
  <si>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</si>
  <si>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</si>
  <si>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</si>
  <si>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</si>
  <si>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</si>
  <si>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</si>
  <si>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</si>
  <si>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</si>
  <si>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</si>
  <si>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</si>
  <si>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</si>
  <si>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</si>
  <si>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</si>
  <si>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</si>
  <si>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</si>
  <si>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</si>
  <si>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</si>
  <si>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</si>
  <si>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</si>
  <si>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</si>
  <si>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</si>
  <si>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</si>
  <si>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</si>
  <si>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</si>
  <si>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</si>
  <si>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</si>
  <si>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</si>
  <si>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</si>
  <si>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</si>
  <si>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</si>
  <si>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</si>
  <si>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</si>
  <si>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</si>
  <si>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</si>
  <si>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</si>
  <si>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</si>
  <si>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</si>
  <si>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</si>
  <si>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</si>
  <si>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</si>
  <si>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</si>
  <si>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</si>
  <si>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</si>
  <si>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</si>
  <si>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</si>
  <si>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</si>
  <si>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</si>
  <si>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</si>
  <si>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</si>
  <si>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</si>
  <si>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</si>
  <si>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</si>
  <si>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</si>
  <si>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</si>
  <si>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</si>
  <si>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</si>
  <si>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</si>
  <si>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</si>
  <si>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</si>
  <si>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</si>
  <si>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</si>
  <si>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</si>
  <si>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</si>
  <si>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</si>
  <si>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</si>
  <si>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</si>
  <si>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</si>
  <si>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</si>
  <si>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</si>
  <si>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</si>
  <si>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</si>
  <si>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</si>
  <si>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</si>
  <si>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</si>
  <si>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</si>
  <si>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</si>
  <si>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</si>
  <si>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</si>
  <si>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</si>
  <si>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</si>
  <si>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</si>
  <si>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</si>
  <si>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</si>
  <si>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</si>
  <si>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</si>
  <si>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</si>
  <si>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</si>
  <si>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</si>
  <si>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</si>
  <si>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</si>
  <si>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</si>
  <si>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</si>
  <si>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</si>
  <si>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</si>
  <si>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</si>
  <si>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</si>
  <si>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</si>
  <si>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</si>
  <si>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</si>
  <si>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</si>
  <si>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</si>
  <si>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</si>
  <si>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</si>
  <si>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</si>
  <si>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</si>
  <si>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</si>
  <si>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</si>
  <si>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</si>
  <si>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</si>
  <si>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</si>
  <si>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</si>
  <si>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</si>
  <si>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</si>
  <si>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</si>
  <si>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</si>
  <si>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</si>
  <si>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</si>
  <si>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</si>
  <si>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</si>
  <si>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</si>
  <si>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</si>
  <si>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</si>
  <si>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</si>
  <si>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</si>
  <si>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</si>
  <si>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</si>
  <si>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</si>
  <si>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</si>
  <si>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</si>
  <si>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</si>
  <si>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</si>
  <si>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</si>
  <si>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</si>
  <si>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</si>
  <si>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</si>
  <si>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</si>
  <si>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</si>
  <si>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</si>
  <si>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</si>
  <si>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</si>
  <si>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</si>
  <si>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</si>
  <si>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</si>
  <si>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</si>
  <si>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</si>
  <si>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</si>
  <si>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</si>
  <si>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</si>
  <si>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</si>
  <si>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</si>
  <si>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</si>
  <si>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</si>
  <si>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</si>
  <si>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</si>
  <si>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</si>
  <si>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</si>
  <si>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</si>
  <si>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</si>
  <si>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</si>
  <si>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</si>
  <si>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</si>
  <si>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</si>
  <si>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</si>
  <si>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</si>
  <si>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</si>
  <si>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</si>
  <si>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</si>
  <si>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</si>
  <si>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</si>
  <si>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</si>
  <si>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</si>
  <si>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</si>
  <si>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</si>
  <si>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</si>
  <si>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</si>
  <si>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</si>
  <si>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</si>
  <si>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</si>
  <si>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</si>
  <si>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</si>
  <si>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</si>
  <si>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</si>
  <si>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</si>
  <si>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</si>
  <si>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</si>
  <si>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</si>
  <si>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</si>
  <si>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</si>
  <si>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</si>
  <si>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</si>
  <si>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</si>
  <si>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</si>
  <si>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</si>
  <si>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</si>
  <si>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</si>
  <si>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</si>
  <si>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</si>
  <si>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</si>
  <si>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</si>
  <si>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</si>
  <si>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</si>
  <si>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</si>
  <si>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</si>
  <si>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</si>
  <si>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</si>
  <si>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</si>
  <si>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</si>
  <si>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</si>
  <si>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</si>
  <si>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</si>
  <si>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</si>
  <si>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</si>
  <si>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</si>
  <si>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</si>
  <si>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</si>
  <si>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</si>
  <si>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</si>
  <si>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</si>
  <si>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</si>
  <si>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</si>
  <si>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</si>
  <si>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</si>
  <si>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</si>
  <si>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</si>
  <si>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</si>
  <si>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</si>
  <si>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</si>
  <si>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</si>
  <si>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</si>
  <si>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</si>
  <si>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</si>
  <si>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</si>
  <si>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</si>
  <si>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</si>
  <si>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</si>
  <si>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</si>
  <si>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</si>
  <si>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</si>
  <si>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</si>
  <si>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</si>
  <si>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</si>
  <si>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</si>
  <si>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</si>
  <si>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</si>
  <si>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</si>
  <si>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</si>
  <si>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</si>
  <si>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</si>
  <si>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</si>
  <si>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</si>
  <si>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</si>
  <si>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</si>
  <si>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</si>
  <si>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</si>
  <si>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</si>
  <si>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</si>
  <si>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</si>
  <si>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</si>
  <si>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</si>
  <si>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</si>
  <si>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</si>
  <si>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</si>
  <si>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</si>
  <si>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</si>
  <si>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</si>
  <si>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</si>
  <si>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</si>
  <si>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</si>
  <si>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</si>
  <si>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</si>
  <si>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</si>
  <si>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</si>
  <si>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</si>
  <si>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</si>
  <si>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</si>
  <si>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</si>
  <si>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</si>
  <si>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</si>
  <si>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</si>
  <si>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</si>
  <si>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</si>
  <si>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</si>
  <si>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</si>
  <si>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</si>
  <si>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</si>
  <si>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</si>
  <si>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</si>
  <si>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</si>
  <si>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</si>
  <si>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</si>
  <si>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</si>
  <si>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</si>
  <si>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</si>
  <si>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</si>
  <si>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</si>
  <si>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</si>
  <si>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</si>
  <si>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</si>
  <si>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</si>
  <si>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</si>
  <si>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</si>
  <si>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</si>
  <si>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</si>
  <si>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</si>
  <si>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</si>
  <si>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</si>
  <si>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</si>
  <si>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</si>
  <si>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</si>
  <si>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</si>
  <si>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</si>
  <si>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</si>
  <si>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</si>
  <si>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</si>
  <si>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</si>
  <si>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</si>
  <si>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</si>
  <si>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</si>
  <si>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</si>
  <si>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</si>
  <si>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</si>
  <si>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</si>
  <si>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</si>
  <si>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</si>
  <si>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</si>
  <si>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</si>
  <si>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</si>
  <si>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</si>
  <si>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</si>
  <si>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</si>
  <si>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</si>
  <si>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</si>
  <si>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</si>
  <si>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</si>
  <si>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</si>
  <si>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</si>
  <si>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</si>
  <si>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</si>
  <si>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</si>
  <si>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</si>
  <si>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</si>
  <si>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</si>
  <si>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</si>
  <si>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</si>
  <si>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</si>
  <si>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</si>
  <si>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</si>
  <si>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</si>
  <si>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</si>
  <si>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</si>
  <si>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</si>
  <si>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</si>
  <si>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</si>
  <si>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</si>
  <si>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</si>
  <si>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</si>
  <si>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</si>
  <si>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</si>
  <si>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</si>
  <si>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</si>
  <si>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</si>
  <si>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</si>
  <si>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</si>
  <si>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</si>
  <si>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</si>
  <si>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</si>
  <si>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</si>
  <si>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</si>
  <si>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</si>
  <si>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</si>
  <si>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</si>
  <si>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</si>
  <si>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</si>
  <si>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</si>
  <si>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</si>
  <si>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</si>
  <si>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</si>
  <si>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</si>
  <si>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</si>
  <si>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</si>
  <si>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</si>
  <si>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</si>
  <si>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</si>
  <si>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</si>
  <si>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</si>
  <si>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</si>
  <si>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</si>
  <si>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</si>
  <si>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</si>
  <si>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</si>
  <si>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</si>
  <si>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</si>
  <si>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</si>
  <si>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</si>
  <si>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</si>
  <si>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</si>
  <si>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</si>
  <si>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</si>
  <si>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</si>
  <si>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</si>
  <si>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</si>
  <si>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</si>
  <si>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</si>
  <si>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</si>
  <si>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</si>
  <si>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</si>
  <si>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</si>
  <si>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</si>
  <si>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</si>
  <si>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</si>
  <si>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</si>
  <si>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</si>
  <si>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</si>
  <si>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</si>
  <si>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</si>
  <si>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</si>
  <si>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</si>
  <si>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</si>
  <si>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</si>
  <si>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</si>
  <si>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</si>
  <si>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</si>
  <si>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</si>
  <si>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</si>
  <si>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</si>
  <si>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</si>
  <si>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</si>
  <si>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</si>
  <si>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</si>
  <si>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</si>
  <si>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</si>
  <si>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</si>
  <si>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</si>
  <si>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</si>
  <si>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</si>
  <si>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</si>
  <si>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</si>
  <si>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</si>
  <si>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</si>
  <si>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</si>
  <si>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</si>
  <si>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</si>
  <si>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</si>
  <si>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</si>
  <si>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</si>
  <si>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</si>
  <si>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</si>
  <si>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</si>
  <si>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</si>
  <si>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</si>
  <si>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</si>
  <si>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</si>
  <si>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</si>
  <si>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</si>
  <si>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</si>
  <si>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</si>
  <si>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</si>
  <si>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</si>
  <si>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</si>
  <si>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</si>
  <si>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</si>
  <si>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</si>
  <si>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</si>
  <si>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</si>
  <si>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</si>
  <si>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</si>
  <si>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</si>
  <si>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</si>
  <si>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</si>
  <si>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</si>
  <si>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</si>
  <si>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</si>
  <si>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</si>
  <si>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</si>
  <si>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</si>
  <si>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</si>
  <si>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</si>
  <si>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</si>
  <si>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</si>
  <si>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</si>
  <si>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</si>
  <si>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</si>
  <si>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</si>
  <si>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</si>
  <si>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</si>
  <si>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</si>
  <si>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</si>
  <si>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</si>
  <si>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</si>
  <si>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</si>
  <si>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</si>
  <si>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</si>
  <si>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</si>
  <si>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</si>
  <si>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</si>
  <si>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</si>
  <si>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</si>
  <si>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</si>
  <si>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</si>
  <si>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</si>
  <si>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</si>
  <si>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</si>
  <si>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</si>
  <si>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</si>
  <si>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</si>
  <si>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</si>
  <si>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</si>
  <si>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</si>
  <si>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</si>
  <si>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</si>
  <si>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</si>
  <si>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</si>
  <si>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</si>
  <si>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</si>
  <si>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</si>
  <si>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</si>
  <si>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</si>
  <si>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</si>
  <si>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</si>
  <si>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</si>
  <si>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</si>
  <si>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</si>
  <si>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</si>
  <si>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</si>
  <si>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</si>
  <si>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</si>
  <si>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</si>
  <si>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</si>
  <si>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</si>
  <si>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</si>
  <si>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</si>
  <si>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</si>
  <si>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</si>
  <si>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</si>
  <si>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</si>
  <si>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</si>
  <si>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</si>
  <si>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</si>
  <si>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</si>
  <si>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</si>
  <si>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</si>
  <si>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</si>
  <si>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</si>
  <si>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</si>
  <si>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</si>
  <si>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</si>
  <si>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</si>
  <si>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</si>
  <si>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</si>
  <si>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</si>
  <si>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</si>
  <si>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</si>
  <si>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</si>
  <si>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</si>
  <si>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</si>
  <si>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</si>
  <si>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</si>
  <si>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</si>
  <si>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</si>
  <si>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</si>
  <si>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</si>
  <si>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</si>
  <si>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</si>
  <si>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</si>
  <si>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</si>
  <si>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</si>
  <si>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</si>
  <si>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</si>
  <si>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</si>
  <si>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</si>
  <si>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</si>
  <si>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</si>
  <si>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</si>
  <si>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</si>
  <si>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</si>
  <si>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</si>
  <si>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</si>
  <si>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</si>
  <si>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</si>
  <si>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</si>
  <si>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</si>
  <si>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</si>
  <si>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</si>
  <si>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</si>
  <si>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</si>
  <si>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</si>
  <si>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</si>
  <si>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</si>
  <si>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</si>
  <si>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</si>
  <si>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</si>
  <si>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</si>
  <si>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</si>
  <si>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</si>
  <si>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</si>
  <si>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</si>
  <si>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</si>
  <si>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</si>
  <si>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</si>
  <si>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</si>
  <si>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</si>
  <si>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</si>
  <si>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ТОПЛИВО АД</t>
  </si>
  <si>
    <t>831924394</t>
  </si>
  <si>
    <t>Бедо Доганян и Преслав Козовски</t>
  </si>
  <si>
    <t>заедно и поотделно</t>
  </si>
  <si>
    <t>гр.София, ул.Солунска №2</t>
  </si>
  <si>
    <t>029333555</t>
  </si>
  <si>
    <t>029804919</t>
  </si>
  <si>
    <t>toplivo@toplivo.bg</t>
  </si>
  <si>
    <t>Людмила Стамова</t>
  </si>
  <si>
    <t>финансов директор</t>
  </si>
  <si>
    <t>1 Синергон Петролеум ООД</t>
  </si>
  <si>
    <t>Бедо Доганян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</si>
</sst>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Neikova\Downloads\SPRAVKA_4_UVEDOMLEMIE_IND_4M_29.0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2">
        <row r="44">
          <cell r="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45007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Людмила Стамова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45007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ТОПЛИВО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142972</v>
      </c>
      <c r="D6" s="675">
        <f aca="true" t="shared" si="0" ref="D6:D15">C6-E6</f>
        <v>-0.013190000026952475</v>
      </c>
      <c r="E6" s="674">
        <f>'1-Баланс'!G95</f>
        <v>142972.01319000003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87445.01319000003</v>
      </c>
      <c r="D7" s="675">
        <f t="shared" si="0"/>
        <v>82028.01319000003</v>
      </c>
      <c r="E7" s="674">
        <f>'1-Баланс'!G18</f>
        <v>5417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-5066.986809999973</v>
      </c>
      <c r="D8" s="675">
        <f t="shared" si="0"/>
        <v>0</v>
      </c>
      <c r="E8" s="674">
        <f>ABS('2-Отчет за доходите'!C44)-ABS('2-Отчет за доходите'!G44)</f>
        <v>-5066.986809999973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2068</v>
      </c>
      <c r="D9" s="675">
        <f t="shared" si="0"/>
        <v>0</v>
      </c>
      <c r="E9" s="674">
        <f>'3-Отчет за паричния поток'!C45</f>
        <v>2068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4620</v>
      </c>
      <c r="D10" s="675">
        <f t="shared" si="0"/>
        <v>-0.20938999999998487</v>
      </c>
      <c r="E10" s="674">
        <f>'3-Отчет за паричния поток'!C46</f>
        <v>4620.20939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87445.01319000003</v>
      </c>
      <c r="D11" s="675">
        <f t="shared" si="0"/>
        <v>0</v>
      </c>
      <c r="E11" s="674">
        <f>'4-Отчет за собствения капитал'!L34</f>
        <v>87445.01319000003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2510</v>
      </c>
      <c r="D14" s="675">
        <f t="shared" si="0"/>
        <v>0</v>
      </c>
      <c r="E14" s="674">
        <f>'Справка 5'!C61+'Справка 5'!C131</f>
        <v>2510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-0.017461710645571404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-0.05794483441829271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-0.0912526664505551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-0.035440413577483516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0.9816490346213607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2.3120982220420454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0.8345109167776684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0.13378120113511321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0.13378120113511321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2.6044931516685517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2.029607195814565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0.19359447284613232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0.6349933286573043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0.3883767450969421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744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0.008508203874169944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0.015690213892880146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12.176973684210527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14509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5575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721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5472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2073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458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465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29273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28084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3104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27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128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3259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2510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2510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2510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63126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50795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50798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4718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11864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6849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113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651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24199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585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4035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4620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229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79846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142972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5417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9539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8183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42471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44624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44624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-5066.986809999973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39557.01319000003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87445.01319000003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18150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1945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20095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898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20993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18156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14706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1443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8952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2765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956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353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237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324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1307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34493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41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34534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142972.01319000003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2666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6707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3816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13481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2406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252054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6594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4639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287724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744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7116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476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8336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296060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296060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-366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-366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295694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283143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2848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4186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290177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391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391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58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0.01319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59.01319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290627.01319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5432.986809999973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290627.01319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5432.986809999973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5066.986809999973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5066.986809999973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295694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296196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-284993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-15313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-9273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0.20939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-481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-13865.79061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-3143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2980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12441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12278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162543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-156531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-1170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-702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4140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2552.20939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2068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4620.20939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585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4035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5417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5417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5417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5417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9539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9539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9539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9539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10650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10650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1376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1376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-3843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8183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8183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42515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42515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-2215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-2215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4324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44624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44624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-2215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-2215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-5066.986809999973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2215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2215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-5066.986809999973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-5066.986809999973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90655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90655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-5066.986809999973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1376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1376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481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87445.01319000003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87445.01319000003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15718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19185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6670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16846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14869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798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3151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77237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36198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6963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1562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44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8569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10435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10435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10435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132439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149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241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542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479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2022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193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3626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794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2980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19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135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3134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6545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6545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6545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14099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2738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4237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1452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681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718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2362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162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12350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1792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657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212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869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12386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12386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12386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27397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12980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15097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5459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16707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14630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458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3182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68513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35200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9286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1369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179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10834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4594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4594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4594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119141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1529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1529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1529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7116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2084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2084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2084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9200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14509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15097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5459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16707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14630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458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3182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70042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28084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9286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1369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179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10834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2510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2510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2510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111470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10468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5955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11352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12618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2552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42945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5395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845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29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6269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49214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493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235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459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631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327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2145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940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709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22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1671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3816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1439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1452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576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692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162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4321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153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212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365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4686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9522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4738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11235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12557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2717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40769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6182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1342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51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7575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48344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9522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4738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11235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12557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2717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40769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6182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1342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51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7575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48344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14509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5575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721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5472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2073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458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465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29273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28084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3104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27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128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3259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2510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2510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2510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63126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4718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4718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11864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6849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113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4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651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15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636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24199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24199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4718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4718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11864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6849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113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4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651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15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636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24199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24199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18150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18150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1945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1667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20095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898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1443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1443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18156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18156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13263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8952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2765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956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237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129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108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353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324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33186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54179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1443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1443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18156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18156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13263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8952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2765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956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237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549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-312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353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324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33186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33186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18150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18150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1945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1667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20095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898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-420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420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20993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1094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1094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213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213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1307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1307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2510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2510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2510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2510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4">
      <selection activeCell="E66" sqref="E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14509</v>
      </c>
      <c r="D12" s="196">
        <v>15718</v>
      </c>
      <c r="E12" s="89" t="s">
        <v>25</v>
      </c>
      <c r="F12" s="93" t="s">
        <v>26</v>
      </c>
      <c r="G12" s="197">
        <v>5417</v>
      </c>
      <c r="H12" s="196">
        <v>5417</v>
      </c>
    </row>
    <row r="13" spans="1:8" ht="15.75">
      <c r="A13" s="89" t="s">
        <v>27</v>
      </c>
      <c r="B13" s="91" t="s">
        <v>28</v>
      </c>
      <c r="C13" s="197">
        <f>'Справка 6'!R12</f>
        <v>5575</v>
      </c>
      <c r="D13" s="196">
        <v>8717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f>'Справка 6'!R13</f>
        <v>721</v>
      </c>
      <c r="D14" s="196">
        <v>715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5472</v>
      </c>
      <c r="D15" s="196">
        <v>5494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2073</v>
      </c>
      <c r="D16" s="196">
        <v>2251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458</v>
      </c>
      <c r="D18" s="196">
        <v>798</v>
      </c>
      <c r="E18" s="481" t="s">
        <v>47</v>
      </c>
      <c r="F18" s="480" t="s">
        <v>48</v>
      </c>
      <c r="G18" s="609">
        <f>G12+G15+G16+G17</f>
        <v>5417</v>
      </c>
      <c r="H18" s="610">
        <f>H12+H15+H16+H17</f>
        <v>5417</v>
      </c>
    </row>
    <row r="19" spans="1:8" ht="15.75">
      <c r="A19" s="89" t="s">
        <v>49</v>
      </c>
      <c r="B19" s="91" t="s">
        <v>50</v>
      </c>
      <c r="C19" s="197">
        <f>'Справка 6'!R18</f>
        <v>465</v>
      </c>
      <c r="D19" s="196">
        <v>599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29273</v>
      </c>
      <c r="D20" s="598">
        <f>SUM(D12:D19)</f>
        <v>34292</v>
      </c>
      <c r="E20" s="89" t="s">
        <v>54</v>
      </c>
      <c r="F20" s="93" t="s">
        <v>55</v>
      </c>
      <c r="G20" s="197">
        <v>9539</v>
      </c>
      <c r="H20" s="196">
        <v>9539</v>
      </c>
    </row>
    <row r="21" spans="1:8" ht="15.75">
      <c r="A21" s="100" t="s">
        <v>56</v>
      </c>
      <c r="B21" s="96" t="s">
        <v>57</v>
      </c>
      <c r="C21" s="476">
        <f>'Справка 6'!R20</f>
        <v>28084</v>
      </c>
      <c r="D21" s="477">
        <v>36198</v>
      </c>
      <c r="E21" s="89" t="s">
        <v>58</v>
      </c>
      <c r="F21" s="93" t="s">
        <v>59</v>
      </c>
      <c r="G21" s="197">
        <v>8183</v>
      </c>
      <c r="H21" s="196">
        <v>10650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24749</v>
      </c>
      <c r="H22" s="614">
        <f>SUM(H23:H25)</f>
        <v>24749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1373</v>
      </c>
      <c r="H23" s="196">
        <v>1373</v>
      </c>
    </row>
    <row r="24" spans="1:13" ht="15.75">
      <c r="A24" s="89" t="s">
        <v>67</v>
      </c>
      <c r="B24" s="91" t="s">
        <v>68</v>
      </c>
      <c r="C24" s="197">
        <f>'Справка 6'!R24</f>
        <v>3104</v>
      </c>
      <c r="D24" s="196">
        <v>1568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6'!R25</f>
        <v>27</v>
      </c>
      <c r="D25" s="196">
        <v>717</v>
      </c>
      <c r="E25" s="89" t="s">
        <v>73</v>
      </c>
      <c r="F25" s="93" t="s">
        <v>74</v>
      </c>
      <c r="G25" s="197">
        <v>23376</v>
      </c>
      <c r="H25" s="196">
        <v>23376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42471</v>
      </c>
      <c r="H26" s="598">
        <f>H20+H21+H22</f>
        <v>44938</v>
      </c>
      <c r="M26" s="98"/>
    </row>
    <row r="27" spans="1:8" ht="15.75">
      <c r="A27" s="89" t="s">
        <v>79</v>
      </c>
      <c r="B27" s="91" t="s">
        <v>80</v>
      </c>
      <c r="C27" s="197">
        <f>'Справка 6'!R27</f>
        <v>128</v>
      </c>
      <c r="D27" s="196">
        <v>15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3259</v>
      </c>
      <c r="D28" s="598">
        <f>SUM(D24:D27)</f>
        <v>2300</v>
      </c>
      <c r="E28" s="202" t="s">
        <v>84</v>
      </c>
      <c r="F28" s="93" t="s">
        <v>85</v>
      </c>
      <c r="G28" s="595">
        <f>SUM(G29:G31)</f>
        <v>44624</v>
      </c>
      <c r="H28" s="596">
        <f>SUM(H29:H31)</f>
        <v>42515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44624</v>
      </c>
      <c r="H29" s="196">
        <v>42515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'[1]2-Отчет за доходите'!C44</f>
        <v>0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f>-'2-Отчет за доходите'!G44</f>
        <v>-5066.986809999973</v>
      </c>
      <c r="H33" s="196">
        <v>-2215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39557.01319000003</v>
      </c>
      <c r="H34" s="598">
        <f>H28+H32+H33</f>
        <v>40300</v>
      </c>
    </row>
    <row r="35" spans="1:8" ht="15.75">
      <c r="A35" s="89" t="s">
        <v>106</v>
      </c>
      <c r="B35" s="94" t="s">
        <v>107</v>
      </c>
      <c r="C35" s="595">
        <f>SUM(C36:C39)</f>
        <v>2510</v>
      </c>
      <c r="D35" s="596">
        <f>SUM(D36:D39)</f>
        <v>10435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87445.01319000003</v>
      </c>
      <c r="H37" s="600">
        <f>H26+H18+H34</f>
        <v>90655</v>
      </c>
    </row>
    <row r="38" spans="1:13" ht="15.75">
      <c r="A38" s="89" t="s">
        <v>113</v>
      </c>
      <c r="B38" s="91" t="s">
        <v>114</v>
      </c>
      <c r="C38" s="197">
        <f>'Справка 6'!R33</f>
        <v>2510</v>
      </c>
      <c r="D38" s="196">
        <v>10435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18150</v>
      </c>
      <c r="H44" s="196">
        <v>17042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2510</v>
      </c>
      <c r="D46" s="598">
        <f>D35+D40+D45</f>
        <v>10435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1945</v>
      </c>
      <c r="H49" s="196">
        <v>939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20095</v>
      </c>
      <c r="H50" s="596">
        <f>SUM(H44:H49)</f>
        <v>17981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898</v>
      </c>
      <c r="H54" s="196">
        <v>1592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63126</v>
      </c>
      <c r="D56" s="602">
        <f>D20+D21+D22+D28+D33+D46+D52+D54+D55</f>
        <v>83225</v>
      </c>
      <c r="E56" s="100" t="s">
        <v>850</v>
      </c>
      <c r="F56" s="99" t="s">
        <v>172</v>
      </c>
      <c r="G56" s="599">
        <f>G50+G52+G53+G54+G55</f>
        <v>20993</v>
      </c>
      <c r="H56" s="600">
        <f>H50+H52+H53+H54+H55</f>
        <v>19573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444</v>
      </c>
      <c r="E59" s="201" t="s">
        <v>180</v>
      </c>
      <c r="F59" s="486" t="s">
        <v>181</v>
      </c>
      <c r="G59" s="197">
        <v>18156</v>
      </c>
      <c r="H59" s="196">
        <v>13249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50795</v>
      </c>
      <c r="D61" s="196">
        <v>39881</v>
      </c>
      <c r="E61" s="200" t="s">
        <v>188</v>
      </c>
      <c r="F61" s="93" t="s">
        <v>189</v>
      </c>
      <c r="G61" s="595">
        <f>SUM(G62:G68)</f>
        <v>14706</v>
      </c>
      <c r="H61" s="596">
        <f>SUM(H62:H68)</f>
        <v>15945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1488-45</f>
        <v>1443</v>
      </c>
      <c r="H62" s="196">
        <v>3450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8907+45</f>
        <v>8952</v>
      </c>
      <c r="H64" s="196">
        <v>8400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50798</v>
      </c>
      <c r="D65" s="598">
        <f>SUM(D59:D64)</f>
        <v>40325</v>
      </c>
      <c r="E65" s="89" t="s">
        <v>201</v>
      </c>
      <c r="F65" s="93" t="s">
        <v>202</v>
      </c>
      <c r="G65" s="197">
        <v>2765</v>
      </c>
      <c r="H65" s="196">
        <v>1485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956</v>
      </c>
      <c r="H66" s="196">
        <v>779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353</v>
      </c>
      <c r="H67" s="196">
        <v>299</v>
      </c>
    </row>
    <row r="68" spans="1:8" ht="15.75">
      <c r="A68" s="89" t="s">
        <v>206</v>
      </c>
      <c r="B68" s="91" t="s">
        <v>207</v>
      </c>
      <c r="C68" s="197">
        <v>4718</v>
      </c>
      <c r="D68" s="196">
        <v>2284</v>
      </c>
      <c r="E68" s="89" t="s">
        <v>212</v>
      </c>
      <c r="F68" s="93" t="s">
        <v>213</v>
      </c>
      <c r="G68" s="197">
        <v>237</v>
      </c>
      <c r="H68" s="196">
        <v>1532</v>
      </c>
    </row>
    <row r="69" spans="1:8" ht="15.75">
      <c r="A69" s="89" t="s">
        <v>210</v>
      </c>
      <c r="B69" s="91" t="s">
        <v>211</v>
      </c>
      <c r="C69" s="197">
        <v>11864</v>
      </c>
      <c r="D69" s="196">
        <v>8177</v>
      </c>
      <c r="E69" s="201" t="s">
        <v>79</v>
      </c>
      <c r="F69" s="93" t="s">
        <v>216</v>
      </c>
      <c r="G69" s="197">
        <v>324</v>
      </c>
      <c r="H69" s="196">
        <v>208</v>
      </c>
    </row>
    <row r="70" spans="1:8" ht="15.75">
      <c r="A70" s="89" t="s">
        <v>214</v>
      </c>
      <c r="B70" s="91" t="s">
        <v>215</v>
      </c>
      <c r="C70" s="197">
        <f>3602+3247</f>
        <v>6849</v>
      </c>
      <c r="D70" s="196">
        <v>2985</v>
      </c>
      <c r="E70" s="89" t="s">
        <v>219</v>
      </c>
      <c r="F70" s="93" t="s">
        <v>220</v>
      </c>
      <c r="G70" s="197">
        <v>1307</v>
      </c>
      <c r="H70" s="196">
        <v>1094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34493</v>
      </c>
      <c r="H71" s="598">
        <f>H59+H60+H61+H69+H70</f>
        <v>30496</v>
      </c>
    </row>
    <row r="72" spans="1:8" ht="15.75">
      <c r="A72" s="89" t="s">
        <v>221</v>
      </c>
      <c r="B72" s="91" t="s">
        <v>222</v>
      </c>
      <c r="C72" s="197">
        <v>113</v>
      </c>
      <c r="D72" s="196">
        <v>769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76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651</v>
      </c>
      <c r="D75" s="196">
        <v>637</v>
      </c>
      <c r="E75" s="485" t="s">
        <v>160</v>
      </c>
      <c r="F75" s="95" t="s">
        <v>233</v>
      </c>
      <c r="G75" s="478">
        <v>41</v>
      </c>
      <c r="H75" s="479">
        <v>36</v>
      </c>
    </row>
    <row r="76" spans="1:8" ht="15.75">
      <c r="A76" s="482" t="s">
        <v>77</v>
      </c>
      <c r="B76" s="96" t="s">
        <v>232</v>
      </c>
      <c r="C76" s="597">
        <f>SUM(C68:C75)</f>
        <v>24199</v>
      </c>
      <c r="D76" s="598">
        <f>SUM(D68:D75)</f>
        <v>14928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34534</v>
      </c>
      <c r="H79" s="600">
        <f>H71+H73+H75+H77</f>
        <v>30532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585</v>
      </c>
      <c r="D88" s="196">
        <v>359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7282-3247</f>
        <v>4035</v>
      </c>
      <c r="D89" s="196">
        <v>1709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4620</v>
      </c>
      <c r="D92" s="598">
        <f>SUM(D88:D91)</f>
        <v>2068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229</v>
      </c>
      <c r="D93" s="479">
        <v>214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79846</v>
      </c>
      <c r="D94" s="602">
        <f>D65+D76+D85+D92+D93</f>
        <v>57535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142972</v>
      </c>
      <c r="D95" s="604">
        <f>D94+D56</f>
        <v>140760</v>
      </c>
      <c r="E95" s="229" t="s">
        <v>941</v>
      </c>
      <c r="F95" s="489" t="s">
        <v>268</v>
      </c>
      <c r="G95" s="603">
        <f>G37+G40+G56+G79</f>
        <v>142972.01319000003</v>
      </c>
      <c r="H95" s="604">
        <f>H37+H40+H56+H79</f>
        <v>140760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45007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Людмила Стамова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7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2666</v>
      </c>
      <c r="D12" s="317">
        <v>2543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6707</v>
      </c>
      <c r="D13" s="317">
        <v>5041</v>
      </c>
      <c r="E13" s="194" t="s">
        <v>281</v>
      </c>
      <c r="F13" s="240" t="s">
        <v>282</v>
      </c>
      <c r="G13" s="316">
        <v>283143</v>
      </c>
      <c r="H13" s="317">
        <v>198547</v>
      </c>
    </row>
    <row r="14" spans="1:8" ht="15.75">
      <c r="A14" s="194" t="s">
        <v>283</v>
      </c>
      <c r="B14" s="190" t="s">
        <v>284</v>
      </c>
      <c r="C14" s="316">
        <v>3816</v>
      </c>
      <c r="D14" s="317">
        <v>4161</v>
      </c>
      <c r="E14" s="245" t="s">
        <v>285</v>
      </c>
      <c r="F14" s="240" t="s">
        <v>286</v>
      </c>
      <c r="G14" s="316">
        <v>2848</v>
      </c>
      <c r="H14" s="317">
        <v>2379</v>
      </c>
    </row>
    <row r="15" spans="1:8" ht="15.75">
      <c r="A15" s="194" t="s">
        <v>287</v>
      </c>
      <c r="B15" s="190" t="s">
        <v>288</v>
      </c>
      <c r="C15" s="316">
        <v>13481</v>
      </c>
      <c r="D15" s="317">
        <v>11092</v>
      </c>
      <c r="E15" s="245" t="s">
        <v>79</v>
      </c>
      <c r="F15" s="240" t="s">
        <v>289</v>
      </c>
      <c r="G15" s="316">
        <f>2382+1804</f>
        <v>4186</v>
      </c>
      <c r="H15" s="317">
        <v>6325</v>
      </c>
    </row>
    <row r="16" spans="1:8" ht="15.75">
      <c r="A16" s="194" t="s">
        <v>290</v>
      </c>
      <c r="B16" s="190" t="s">
        <v>291</v>
      </c>
      <c r="C16" s="316">
        <v>2406</v>
      </c>
      <c r="D16" s="317">
        <v>2040</v>
      </c>
      <c r="E16" s="236" t="s">
        <v>52</v>
      </c>
      <c r="F16" s="264" t="s">
        <v>292</v>
      </c>
      <c r="G16" s="628">
        <f>SUM(G12:G15)</f>
        <v>290177</v>
      </c>
      <c r="H16" s="629">
        <f>SUM(H12:H15)</f>
        <v>207251</v>
      </c>
    </row>
    <row r="17" spans="1:8" ht="31.5">
      <c r="A17" s="194" t="s">
        <v>293</v>
      </c>
      <c r="B17" s="190" t="s">
        <v>294</v>
      </c>
      <c r="C17" s="316">
        <v>252054</v>
      </c>
      <c r="D17" s="317">
        <v>177259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/>
      <c r="E18" s="234" t="s">
        <v>297</v>
      </c>
      <c r="F18" s="238" t="s">
        <v>298</v>
      </c>
      <c r="G18" s="639">
        <v>391</v>
      </c>
      <c r="H18" s="640">
        <v>55</v>
      </c>
    </row>
    <row r="19" spans="1:8" ht="15.75">
      <c r="A19" s="194" t="s">
        <v>299</v>
      </c>
      <c r="B19" s="190" t="s">
        <v>300</v>
      </c>
      <c r="C19" s="316">
        <f>6593+1</f>
        <v>6594</v>
      </c>
      <c r="D19" s="317">
        <v>6567</v>
      </c>
      <c r="E19" s="194" t="s">
        <v>301</v>
      </c>
      <c r="F19" s="237" t="s">
        <v>302</v>
      </c>
      <c r="G19" s="316">
        <v>391</v>
      </c>
      <c r="H19" s="317">
        <v>55</v>
      </c>
    </row>
    <row r="20" spans="1:8" ht="15.75">
      <c r="A20" s="235" t="s">
        <v>303</v>
      </c>
      <c r="B20" s="190" t="s">
        <v>304</v>
      </c>
      <c r="C20" s="316">
        <v>4639</v>
      </c>
      <c r="D20" s="317">
        <v>4106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287724</v>
      </c>
      <c r="D22" s="629">
        <f>SUM(D12:D18)+D19</f>
        <v>208703</v>
      </c>
      <c r="E22" s="194" t="s">
        <v>309</v>
      </c>
      <c r="F22" s="237" t="s">
        <v>310</v>
      </c>
      <c r="G22" s="316">
        <v>1</v>
      </c>
      <c r="H22" s="317">
        <v>93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9</v>
      </c>
    </row>
    <row r="25" spans="1:8" ht="31.5">
      <c r="A25" s="194" t="s">
        <v>316</v>
      </c>
      <c r="B25" s="237" t="s">
        <v>317</v>
      </c>
      <c r="C25" s="316">
        <f>745-1</f>
        <v>744</v>
      </c>
      <c r="D25" s="317">
        <v>1017</v>
      </c>
      <c r="E25" s="194" t="s">
        <v>318</v>
      </c>
      <c r="F25" s="237" t="s">
        <v>319</v>
      </c>
      <c r="G25" s="316">
        <v>58</v>
      </c>
      <c r="H25" s="317">
        <v>26</v>
      </c>
    </row>
    <row r="26" spans="1:8" ht="31.5">
      <c r="A26" s="194" t="s">
        <v>320</v>
      </c>
      <c r="B26" s="237" t="s">
        <v>321</v>
      </c>
      <c r="C26" s="316">
        <v>7116</v>
      </c>
      <c r="D26" s="317"/>
      <c r="E26" s="194" t="s">
        <v>322</v>
      </c>
      <c r="F26" s="237" t="s">
        <v>323</v>
      </c>
      <c r="G26" s="316">
        <v>0.01319</v>
      </c>
      <c r="H26" s="317">
        <v>463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59.01319</v>
      </c>
      <c r="H27" s="629">
        <f>SUM(H22:H26)</f>
        <v>591</v>
      </c>
    </row>
    <row r="28" spans="1:8" ht="15.75">
      <c r="A28" s="194" t="s">
        <v>79</v>
      </c>
      <c r="B28" s="237" t="s">
        <v>327</v>
      </c>
      <c r="C28" s="316">
        <v>476</v>
      </c>
      <c r="D28" s="317">
        <v>272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8336</v>
      </c>
      <c r="D29" s="629">
        <f>SUM(D25:D28)</f>
        <v>1289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296060</v>
      </c>
      <c r="D31" s="635">
        <f>D29+D22</f>
        <v>209992</v>
      </c>
      <c r="E31" s="251" t="s">
        <v>824</v>
      </c>
      <c r="F31" s="266" t="s">
        <v>331</v>
      </c>
      <c r="G31" s="253">
        <f>G16+G18+G27</f>
        <v>290627.01319</v>
      </c>
      <c r="H31" s="254">
        <f>H16+H18+H27</f>
        <v>207897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5432.986809999973</v>
      </c>
      <c r="H33" s="629">
        <f>IF((D31-H31)&gt;0,D31-H31,0)</f>
        <v>2095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296060</v>
      </c>
      <c r="D36" s="637">
        <f>D31-D34+D35</f>
        <v>209992</v>
      </c>
      <c r="E36" s="262" t="s">
        <v>346</v>
      </c>
      <c r="F36" s="256" t="s">
        <v>347</v>
      </c>
      <c r="G36" s="267">
        <f>G35-G34+G31</f>
        <v>290627.01319</v>
      </c>
      <c r="H36" s="268">
        <f>H35-H34+H31</f>
        <v>207897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5432.986809999973</v>
      </c>
      <c r="H37" s="254">
        <f>IF((D36-H36)&gt;0,D36-H36,0)</f>
        <v>2095</v>
      </c>
    </row>
    <row r="38" spans="1:8" ht="15.75">
      <c r="A38" s="234" t="s">
        <v>352</v>
      </c>
      <c r="B38" s="238" t="s">
        <v>353</v>
      </c>
      <c r="C38" s="628">
        <f>C39+C40+C41</f>
        <v>-366</v>
      </c>
      <c r="D38" s="629">
        <f>D39+D40+D41</f>
        <v>120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-366</v>
      </c>
      <c r="D40" s="317">
        <v>120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5066.986809999973</v>
      </c>
      <c r="H42" s="244">
        <f>IF(H37&gt;0,IF(D38+H37&lt;0,0,D38+H37),IF(D37-D38&lt;0,D38-D37,0))</f>
        <v>2215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5066.986809999973</v>
      </c>
      <c r="H44" s="268">
        <f>IF(D42=0,IF(H42-H43&gt;0,H42-H43+D43,0),IF(D42-D43&lt;0,D43-D42+H43,0))</f>
        <v>2215</v>
      </c>
    </row>
    <row r="45" spans="1:8" ht="16.5" thickBot="1">
      <c r="A45" s="270" t="s">
        <v>371</v>
      </c>
      <c r="B45" s="271" t="s">
        <v>372</v>
      </c>
      <c r="C45" s="630">
        <f>C36+C38+C42</f>
        <v>295694</v>
      </c>
      <c r="D45" s="631">
        <f>D36+D38+D42</f>
        <v>210112</v>
      </c>
      <c r="E45" s="270" t="s">
        <v>373</v>
      </c>
      <c r="F45" s="272" t="s">
        <v>374</v>
      </c>
      <c r="G45" s="630">
        <f>G42+G36</f>
        <v>295694</v>
      </c>
      <c r="H45" s="631">
        <f>H42+H36</f>
        <v>210112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45007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Людмила Стамова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14" sqref="G1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296251-55</f>
        <v>296196</v>
      </c>
      <c r="D11" s="196">
        <v>249787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-281746-3247</f>
        <v>-284993</v>
      </c>
      <c r="D12" s="196">
        <v>-215115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-15313</v>
      </c>
      <c r="D14" s="196">
        <v>-12900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-9273</v>
      </c>
      <c r="D15" s="196">
        <v>-16518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0.20939</v>
      </c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-481</v>
      </c>
      <c r="D18" s="196">
        <v>-326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>
        <v>-8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-13865.79061</v>
      </c>
      <c r="D21" s="659">
        <f>SUM(D11:D20)</f>
        <v>4920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-3143</v>
      </c>
      <c r="D23" s="196">
        <v>-2880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2980</v>
      </c>
      <c r="D24" s="196">
        <v>3424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f>12386+55</f>
        <v>12441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12278</v>
      </c>
      <c r="D33" s="659">
        <f>SUM(D23:D32)</f>
        <v>544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162543</v>
      </c>
      <c r="D37" s="196">
        <v>96350.75332999999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-156531</v>
      </c>
      <c r="D38" s="196">
        <v>-99028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-1170</v>
      </c>
      <c r="D39" s="196">
        <v>-1521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-702</f>
        <v>-702</v>
      </c>
      <c r="D40" s="196">
        <v>-961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4140</v>
      </c>
      <c r="D43" s="661">
        <f>SUM(D35:D42)</f>
        <v>-5159.246670000008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2552.20939</v>
      </c>
      <c r="D44" s="307">
        <f>D43+D33+D21</f>
        <v>304.7533299999923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2068</v>
      </c>
      <c r="D45" s="309">
        <v>1763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4620.20939</v>
      </c>
      <c r="D46" s="311">
        <f>D45+D44</f>
        <v>2067.7533299999923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'1-Баланс'!C88</f>
        <v>585</v>
      </c>
      <c r="D47" s="298">
        <v>359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'1-Баланс'!C89</f>
        <v>4035</v>
      </c>
      <c r="D48" s="281">
        <v>1709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45007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Людмила Стамова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0">
      <selection activeCell="H31" sqref="H31:J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5417</v>
      </c>
      <c r="D13" s="584">
        <f>'1-Баланс'!H20</f>
        <v>9539</v>
      </c>
      <c r="E13" s="584">
        <f>'1-Баланс'!H21</f>
        <v>10650</v>
      </c>
      <c r="F13" s="584">
        <f>'1-Баланс'!H23</f>
        <v>1373</v>
      </c>
      <c r="G13" s="584">
        <f>'1-Баланс'!H24</f>
        <v>0</v>
      </c>
      <c r="H13" s="585">
        <f>'1-Баланс'!G25</f>
        <v>23376</v>
      </c>
      <c r="I13" s="584">
        <f>'1-Баланс'!H29+'1-Баланс'!H32</f>
        <v>42515</v>
      </c>
      <c r="J13" s="584">
        <f>'1-Баланс'!H30+'1-Баланс'!H33</f>
        <v>-2215</v>
      </c>
      <c r="K13" s="585"/>
      <c r="L13" s="584">
        <f>SUM(C13:K13)</f>
        <v>90655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5417</v>
      </c>
      <c r="D17" s="653">
        <f aca="true" t="shared" si="2" ref="D17:M17">D13+D14</f>
        <v>9539</v>
      </c>
      <c r="E17" s="653">
        <f t="shared" si="2"/>
        <v>10650</v>
      </c>
      <c r="F17" s="653">
        <f t="shared" si="2"/>
        <v>1373</v>
      </c>
      <c r="G17" s="653">
        <f t="shared" si="2"/>
        <v>0</v>
      </c>
      <c r="H17" s="653">
        <f t="shared" si="2"/>
        <v>23376</v>
      </c>
      <c r="I17" s="653">
        <f t="shared" si="2"/>
        <v>42515</v>
      </c>
      <c r="J17" s="653">
        <f t="shared" si="2"/>
        <v>-2215</v>
      </c>
      <c r="K17" s="653">
        <f t="shared" si="2"/>
        <v>0</v>
      </c>
      <c r="L17" s="584">
        <f t="shared" si="1"/>
        <v>90655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-5066.986809999973</v>
      </c>
      <c r="K18" s="585"/>
      <c r="L18" s="584">
        <f t="shared" si="1"/>
        <v>-5066.986809999973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-2215</v>
      </c>
      <c r="J19" s="168">
        <f>J20+J21</f>
        <v>2215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-2215</v>
      </c>
      <c r="J21" s="316">
        <v>2215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1376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1376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f>1529-153</f>
        <v>1376</v>
      </c>
      <c r="F24" s="316"/>
      <c r="G24" s="316"/>
      <c r="H24" s="316"/>
      <c r="I24" s="316"/>
      <c r="J24" s="316"/>
      <c r="K24" s="316"/>
      <c r="L24" s="584">
        <f t="shared" si="1"/>
        <v>1376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f>-4270+427</f>
        <v>-3843</v>
      </c>
      <c r="F30" s="316"/>
      <c r="G30" s="316"/>
      <c r="H30" s="316"/>
      <c r="I30" s="316">
        <f>3843+418+63</f>
        <v>4324</v>
      </c>
      <c r="J30" s="316"/>
      <c r="K30" s="316"/>
      <c r="L30" s="584">
        <f t="shared" si="1"/>
        <v>481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5417</v>
      </c>
      <c r="D31" s="653">
        <f aca="true" t="shared" si="6" ref="D31:M31">D19+D22+D23+D26+D30+D29+D17+D18</f>
        <v>9539</v>
      </c>
      <c r="E31" s="653">
        <f t="shared" si="6"/>
        <v>8183</v>
      </c>
      <c r="F31" s="653">
        <f t="shared" si="6"/>
        <v>1373</v>
      </c>
      <c r="G31" s="653">
        <f t="shared" si="6"/>
        <v>0</v>
      </c>
      <c r="H31" s="653">
        <f t="shared" si="6"/>
        <v>23376</v>
      </c>
      <c r="I31" s="653">
        <f t="shared" si="6"/>
        <v>44624</v>
      </c>
      <c r="J31" s="653">
        <f t="shared" si="6"/>
        <v>-5066.986809999973</v>
      </c>
      <c r="K31" s="653">
        <f t="shared" si="6"/>
        <v>0</v>
      </c>
      <c r="L31" s="584">
        <f t="shared" si="1"/>
        <v>87445.01319000003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5417</v>
      </c>
      <c r="D34" s="587">
        <f t="shared" si="7"/>
        <v>9539</v>
      </c>
      <c r="E34" s="587">
        <f t="shared" si="7"/>
        <v>8183</v>
      </c>
      <c r="F34" s="587">
        <f t="shared" si="7"/>
        <v>1373</v>
      </c>
      <c r="G34" s="587">
        <f t="shared" si="7"/>
        <v>0</v>
      </c>
      <c r="H34" s="587">
        <f t="shared" si="7"/>
        <v>23376</v>
      </c>
      <c r="I34" s="587">
        <f t="shared" si="7"/>
        <v>44624</v>
      </c>
      <c r="J34" s="587">
        <f t="shared" si="7"/>
        <v>-5066.986809999973</v>
      </c>
      <c r="K34" s="587">
        <f t="shared" si="7"/>
        <v>0</v>
      </c>
      <c r="L34" s="651">
        <f t="shared" si="1"/>
        <v>87445.01319000003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45007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Людмила Стамова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7">
      <selection activeCell="C47" sqref="C47: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999</v>
      </c>
      <c r="B46" s="680"/>
      <c r="C46" s="92">
        <v>2510</v>
      </c>
      <c r="D46" s="92">
        <v>10</v>
      </c>
      <c r="E46" s="92"/>
      <c r="F46" s="469">
        <f>C46-E46</f>
        <v>2510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2510</v>
      </c>
      <c r="D61" s="472"/>
      <c r="E61" s="472">
        <f>SUM(E46:E60)</f>
        <v>0</v>
      </c>
      <c r="F61" s="472">
        <f>SUM(F46:F60)</f>
        <v>2510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2510</v>
      </c>
      <c r="D79" s="472"/>
      <c r="E79" s="472">
        <f>E78+E61+E44+E27</f>
        <v>0</v>
      </c>
      <c r="F79" s="472">
        <f>F78+F61+F44+F27</f>
        <v>2510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45007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Людмила Стамова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L13" sqref="L13:L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15718</v>
      </c>
      <c r="E11" s="328"/>
      <c r="F11" s="328">
        <v>2738</v>
      </c>
      <c r="G11" s="329">
        <f>D11+E11-F11</f>
        <v>12980</v>
      </c>
      <c r="H11" s="328">
        <v>1529</v>
      </c>
      <c r="I11" s="328"/>
      <c r="J11" s="329">
        <f>G11+H11-I11</f>
        <v>14509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14509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19185</v>
      </c>
      <c r="E12" s="328">
        <v>149</v>
      </c>
      <c r="F12" s="328">
        <v>4237</v>
      </c>
      <c r="G12" s="329">
        <f aca="true" t="shared" si="2" ref="G12:G42">D12+E12-F12</f>
        <v>15097</v>
      </c>
      <c r="H12" s="328"/>
      <c r="I12" s="328"/>
      <c r="J12" s="329">
        <f aca="true" t="shared" si="3" ref="J12:J42">G12+H12-I12</f>
        <v>15097</v>
      </c>
      <c r="K12" s="328">
        <v>10468</v>
      </c>
      <c r="L12" s="328">
        <v>493</v>
      </c>
      <c r="M12" s="328">
        <v>1439</v>
      </c>
      <c r="N12" s="329">
        <f aca="true" t="shared" si="4" ref="N12:N42">K12+L12-M12</f>
        <v>9522</v>
      </c>
      <c r="O12" s="328"/>
      <c r="P12" s="328"/>
      <c r="Q12" s="329">
        <f t="shared" si="0"/>
        <v>9522</v>
      </c>
      <c r="R12" s="340">
        <f t="shared" si="1"/>
        <v>5575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6670</v>
      </c>
      <c r="E13" s="328">
        <v>241</v>
      </c>
      <c r="F13" s="328">
        <v>1452</v>
      </c>
      <c r="G13" s="329">
        <f t="shared" si="2"/>
        <v>5459</v>
      </c>
      <c r="H13" s="328"/>
      <c r="I13" s="328"/>
      <c r="J13" s="329">
        <f t="shared" si="3"/>
        <v>5459</v>
      </c>
      <c r="K13" s="328">
        <v>5955</v>
      </c>
      <c r="L13" s="328">
        <v>235</v>
      </c>
      <c r="M13" s="328">
        <v>1452</v>
      </c>
      <c r="N13" s="329">
        <f t="shared" si="4"/>
        <v>4738</v>
      </c>
      <c r="O13" s="328"/>
      <c r="P13" s="328"/>
      <c r="Q13" s="329">
        <f t="shared" si="0"/>
        <v>4738</v>
      </c>
      <c r="R13" s="340">
        <f t="shared" si="1"/>
        <v>721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16846</v>
      </c>
      <c r="E14" s="328">
        <v>542</v>
      </c>
      <c r="F14" s="328">
        <v>681</v>
      </c>
      <c r="G14" s="329">
        <f t="shared" si="2"/>
        <v>16707</v>
      </c>
      <c r="H14" s="328"/>
      <c r="I14" s="328"/>
      <c r="J14" s="329">
        <f t="shared" si="3"/>
        <v>16707</v>
      </c>
      <c r="K14" s="328">
        <v>11352</v>
      </c>
      <c r="L14" s="328">
        <v>459</v>
      </c>
      <c r="M14" s="328">
        <v>576</v>
      </c>
      <c r="N14" s="329">
        <f t="shared" si="4"/>
        <v>11235</v>
      </c>
      <c r="O14" s="328"/>
      <c r="P14" s="328"/>
      <c r="Q14" s="329">
        <f t="shared" si="0"/>
        <v>11235</v>
      </c>
      <c r="R14" s="340">
        <f t="shared" si="1"/>
        <v>5472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14869</v>
      </c>
      <c r="E15" s="328">
        <v>479</v>
      </c>
      <c r="F15" s="328">
        <v>718</v>
      </c>
      <c r="G15" s="329">
        <f t="shared" si="2"/>
        <v>14630</v>
      </c>
      <c r="H15" s="328"/>
      <c r="I15" s="328"/>
      <c r="J15" s="329">
        <f t="shared" si="3"/>
        <v>14630</v>
      </c>
      <c r="K15" s="328">
        <v>12618</v>
      </c>
      <c r="L15" s="328">
        <v>631</v>
      </c>
      <c r="M15" s="328">
        <v>692</v>
      </c>
      <c r="N15" s="329">
        <f t="shared" si="4"/>
        <v>12557</v>
      </c>
      <c r="O15" s="328"/>
      <c r="P15" s="328"/>
      <c r="Q15" s="329">
        <f t="shared" si="0"/>
        <v>12557</v>
      </c>
      <c r="R15" s="340">
        <f t="shared" si="1"/>
        <v>2073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0</v>
      </c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>
        <v>0</v>
      </c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798</v>
      </c>
      <c r="E17" s="328">
        <v>2022</v>
      </c>
      <c r="F17" s="328">
        <v>2362</v>
      </c>
      <c r="G17" s="329">
        <f t="shared" si="2"/>
        <v>458</v>
      </c>
      <c r="H17" s="328"/>
      <c r="I17" s="328"/>
      <c r="J17" s="329">
        <f t="shared" si="3"/>
        <v>458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458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3151</v>
      </c>
      <c r="E18" s="328">
        <v>193</v>
      </c>
      <c r="F18" s="328">
        <v>162</v>
      </c>
      <c r="G18" s="329">
        <f t="shared" si="2"/>
        <v>3182</v>
      </c>
      <c r="H18" s="328"/>
      <c r="I18" s="328"/>
      <c r="J18" s="329">
        <f t="shared" si="3"/>
        <v>3182</v>
      </c>
      <c r="K18" s="328">
        <v>2552</v>
      </c>
      <c r="L18" s="328">
        <v>327</v>
      </c>
      <c r="M18" s="328">
        <v>162</v>
      </c>
      <c r="N18" s="329">
        <f t="shared" si="4"/>
        <v>2717</v>
      </c>
      <c r="O18" s="328"/>
      <c r="P18" s="328"/>
      <c r="Q18" s="329">
        <f t="shared" si="0"/>
        <v>2717</v>
      </c>
      <c r="R18" s="340">
        <f t="shared" si="1"/>
        <v>465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77237</v>
      </c>
      <c r="E19" s="330">
        <f>SUM(E11:E18)</f>
        <v>3626</v>
      </c>
      <c r="F19" s="330">
        <f>SUM(F11:F18)</f>
        <v>12350</v>
      </c>
      <c r="G19" s="329">
        <f t="shared" si="2"/>
        <v>68513</v>
      </c>
      <c r="H19" s="330">
        <f>SUM(H11:H18)</f>
        <v>1529</v>
      </c>
      <c r="I19" s="330">
        <f>SUM(I11:I18)</f>
        <v>0</v>
      </c>
      <c r="J19" s="329">
        <f t="shared" si="3"/>
        <v>70042</v>
      </c>
      <c r="K19" s="330">
        <f>SUM(K11:K18)</f>
        <v>42945</v>
      </c>
      <c r="L19" s="330">
        <f>SUM(L11:L18)</f>
        <v>2145</v>
      </c>
      <c r="M19" s="330">
        <f>SUM(M11:M18)</f>
        <v>4321</v>
      </c>
      <c r="N19" s="329">
        <f t="shared" si="4"/>
        <v>40769</v>
      </c>
      <c r="O19" s="330">
        <f>SUM(O11:O18)</f>
        <v>0</v>
      </c>
      <c r="P19" s="330">
        <f>SUM(P11:P18)</f>
        <v>0</v>
      </c>
      <c r="Q19" s="329">
        <f t="shared" si="0"/>
        <v>40769</v>
      </c>
      <c r="R19" s="340">
        <f t="shared" si="1"/>
        <v>29273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36198</v>
      </c>
      <c r="E20" s="328">
        <v>794</v>
      </c>
      <c r="F20" s="328">
        <v>1792</v>
      </c>
      <c r="G20" s="329">
        <f t="shared" si="2"/>
        <v>35200</v>
      </c>
      <c r="H20" s="328"/>
      <c r="I20" s="328">
        <v>7116</v>
      </c>
      <c r="J20" s="329">
        <f t="shared" si="3"/>
        <v>28084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28084</v>
      </c>
    </row>
    <row r="21" spans="1:18" ht="15.75">
      <c r="A21" s="341"/>
      <c r="B21" s="323"/>
      <c r="C21" s="156"/>
      <c r="D21" s="328">
        <v>0</v>
      </c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6963</v>
      </c>
      <c r="E24" s="328">
        <v>2980</v>
      </c>
      <c r="F24" s="328">
        <v>657</v>
      </c>
      <c r="G24" s="329">
        <f t="shared" si="2"/>
        <v>9286</v>
      </c>
      <c r="H24" s="328"/>
      <c r="I24" s="328"/>
      <c r="J24" s="329">
        <f t="shared" si="3"/>
        <v>9286</v>
      </c>
      <c r="K24" s="328">
        <v>5395</v>
      </c>
      <c r="L24" s="328">
        <v>940</v>
      </c>
      <c r="M24" s="328">
        <v>153</v>
      </c>
      <c r="N24" s="329">
        <f t="shared" si="4"/>
        <v>6182</v>
      </c>
      <c r="O24" s="328"/>
      <c r="P24" s="328"/>
      <c r="Q24" s="329">
        <f t="shared" si="0"/>
        <v>6182</v>
      </c>
      <c r="R24" s="340">
        <f t="shared" si="1"/>
        <v>3104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1562</v>
      </c>
      <c r="E25" s="328">
        <v>19</v>
      </c>
      <c r="F25" s="328">
        <v>212</v>
      </c>
      <c r="G25" s="329">
        <f t="shared" si="2"/>
        <v>1369</v>
      </c>
      <c r="H25" s="328"/>
      <c r="I25" s="328"/>
      <c r="J25" s="329">
        <f t="shared" si="3"/>
        <v>1369</v>
      </c>
      <c r="K25" s="328">
        <v>845</v>
      </c>
      <c r="L25" s="328">
        <v>709</v>
      </c>
      <c r="M25" s="328">
        <v>212</v>
      </c>
      <c r="N25" s="329">
        <f t="shared" si="4"/>
        <v>1342</v>
      </c>
      <c r="O25" s="328"/>
      <c r="P25" s="328"/>
      <c r="Q25" s="329">
        <f t="shared" si="0"/>
        <v>1342</v>
      </c>
      <c r="R25" s="340">
        <f t="shared" si="1"/>
        <v>27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44</v>
      </c>
      <c r="E27" s="328">
        <v>135</v>
      </c>
      <c r="F27" s="328"/>
      <c r="G27" s="329">
        <f t="shared" si="2"/>
        <v>179</v>
      </c>
      <c r="H27" s="328"/>
      <c r="I27" s="328"/>
      <c r="J27" s="329">
        <f t="shared" si="3"/>
        <v>179</v>
      </c>
      <c r="K27" s="328">
        <v>29</v>
      </c>
      <c r="L27" s="328">
        <v>22</v>
      </c>
      <c r="M27" s="328"/>
      <c r="N27" s="329">
        <f t="shared" si="4"/>
        <v>51</v>
      </c>
      <c r="O27" s="328"/>
      <c r="P27" s="328"/>
      <c r="Q27" s="329">
        <f t="shared" si="0"/>
        <v>51</v>
      </c>
      <c r="R27" s="340">
        <f t="shared" si="1"/>
        <v>128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8569</v>
      </c>
      <c r="E28" s="332">
        <f aca="true" t="shared" si="5" ref="E28:P28">SUM(E24:E27)</f>
        <v>3134</v>
      </c>
      <c r="F28" s="332">
        <f t="shared" si="5"/>
        <v>869</v>
      </c>
      <c r="G28" s="333">
        <f t="shared" si="2"/>
        <v>10834</v>
      </c>
      <c r="H28" s="332">
        <f t="shared" si="5"/>
        <v>0</v>
      </c>
      <c r="I28" s="332">
        <f t="shared" si="5"/>
        <v>0</v>
      </c>
      <c r="J28" s="333">
        <f t="shared" si="3"/>
        <v>10834</v>
      </c>
      <c r="K28" s="332">
        <f t="shared" si="5"/>
        <v>6269</v>
      </c>
      <c r="L28" s="332">
        <f t="shared" si="5"/>
        <v>1671</v>
      </c>
      <c r="M28" s="332">
        <f t="shared" si="5"/>
        <v>365</v>
      </c>
      <c r="N28" s="333">
        <f t="shared" si="4"/>
        <v>7575</v>
      </c>
      <c r="O28" s="332">
        <f t="shared" si="5"/>
        <v>0</v>
      </c>
      <c r="P28" s="332">
        <f t="shared" si="5"/>
        <v>0</v>
      </c>
      <c r="Q28" s="333">
        <f t="shared" si="0"/>
        <v>7575</v>
      </c>
      <c r="R28" s="343">
        <f t="shared" si="1"/>
        <v>3259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10435</v>
      </c>
      <c r="E30" s="335">
        <f aca="true" t="shared" si="6" ref="E30:P30">SUM(E31:E34)</f>
        <v>6545</v>
      </c>
      <c r="F30" s="335">
        <f t="shared" si="6"/>
        <v>12386</v>
      </c>
      <c r="G30" s="336">
        <f t="shared" si="2"/>
        <v>4594</v>
      </c>
      <c r="H30" s="335">
        <f t="shared" si="6"/>
        <v>0</v>
      </c>
      <c r="I30" s="335">
        <f t="shared" si="6"/>
        <v>2084</v>
      </c>
      <c r="J30" s="336">
        <f t="shared" si="3"/>
        <v>2510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2510</v>
      </c>
    </row>
    <row r="31" spans="1:18" ht="15.75">
      <c r="A31" s="339"/>
      <c r="B31" s="321" t="s">
        <v>108</v>
      </c>
      <c r="C31" s="152" t="s">
        <v>563</v>
      </c>
      <c r="D31" s="328">
        <v>0</v>
      </c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>
        <v>0</v>
      </c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10435</v>
      </c>
      <c r="E33" s="328">
        <v>6545</v>
      </c>
      <c r="F33" s="328">
        <v>12386</v>
      </c>
      <c r="G33" s="329">
        <f t="shared" si="2"/>
        <v>4594</v>
      </c>
      <c r="H33" s="328"/>
      <c r="I33" s="328">
        <v>2084</v>
      </c>
      <c r="J33" s="329">
        <f t="shared" si="3"/>
        <v>2510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2510</v>
      </c>
    </row>
    <row r="34" spans="1:18" ht="15.75">
      <c r="A34" s="339"/>
      <c r="B34" s="321" t="s">
        <v>115</v>
      </c>
      <c r="C34" s="152" t="s">
        <v>566</v>
      </c>
      <c r="D34" s="328">
        <v>0</v>
      </c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10435</v>
      </c>
      <c r="E41" s="330">
        <f aca="true" t="shared" si="10" ref="E41:P41">E30+E35+E40</f>
        <v>6545</v>
      </c>
      <c r="F41" s="330">
        <f t="shared" si="10"/>
        <v>12386</v>
      </c>
      <c r="G41" s="329">
        <f t="shared" si="2"/>
        <v>4594</v>
      </c>
      <c r="H41" s="330">
        <f t="shared" si="10"/>
        <v>0</v>
      </c>
      <c r="I41" s="330">
        <f t="shared" si="10"/>
        <v>2084</v>
      </c>
      <c r="J41" s="329">
        <f t="shared" si="3"/>
        <v>2510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2510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132439</v>
      </c>
      <c r="E43" s="349">
        <f>E19+E20+E22+E28+E41+E42</f>
        <v>14099</v>
      </c>
      <c r="F43" s="349">
        <f aca="true" t="shared" si="11" ref="F43:R43">F19+F20+F22+F28+F41+F42</f>
        <v>27397</v>
      </c>
      <c r="G43" s="349">
        <f t="shared" si="11"/>
        <v>119141</v>
      </c>
      <c r="H43" s="349">
        <f t="shared" si="11"/>
        <v>1529</v>
      </c>
      <c r="I43" s="349">
        <f t="shared" si="11"/>
        <v>9200</v>
      </c>
      <c r="J43" s="349">
        <f t="shared" si="11"/>
        <v>111470</v>
      </c>
      <c r="K43" s="349">
        <f t="shared" si="11"/>
        <v>49214</v>
      </c>
      <c r="L43" s="349">
        <f t="shared" si="11"/>
        <v>3816</v>
      </c>
      <c r="M43" s="349">
        <f t="shared" si="11"/>
        <v>4686</v>
      </c>
      <c r="N43" s="349">
        <f t="shared" si="11"/>
        <v>48344</v>
      </c>
      <c r="O43" s="349">
        <f t="shared" si="11"/>
        <v>0</v>
      </c>
      <c r="P43" s="349">
        <f t="shared" si="11"/>
        <v>0</v>
      </c>
      <c r="Q43" s="349">
        <f t="shared" si="11"/>
        <v>48344</v>
      </c>
      <c r="R43" s="350">
        <f t="shared" si="11"/>
        <v>63126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45007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Людмила Стамова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">
        <v>1000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71" sqref="C7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4718</v>
      </c>
      <c r="D26" s="362">
        <f>SUM(D27:D29)</f>
        <v>4718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'1-Баланс'!C68</f>
        <v>4718</v>
      </c>
      <c r="D28" s="368">
        <f aca="true" t="shared" si="1" ref="D28:D33">C28</f>
        <v>4718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 t="shared" si="1"/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11864</v>
      </c>
      <c r="D30" s="368">
        <f t="shared" si="1"/>
        <v>11864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6849</v>
      </c>
      <c r="D31" s="368">
        <f t="shared" si="1"/>
        <v>6849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>
        <f t="shared" si="1"/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f>'1-Баланс'!C72-C34</f>
        <v>113</v>
      </c>
      <c r="D33" s="368">
        <f t="shared" si="1"/>
        <v>113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>
        <f>C36</f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>
        <f>C38</f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f>'1-Баланс'!C73</f>
        <v>4</v>
      </c>
      <c r="D39" s="368">
        <f>C39</f>
        <v>4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651</v>
      </c>
      <c r="D40" s="362">
        <f>SUM(D41:D44)</f>
        <v>651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15</v>
      </c>
      <c r="D41" s="368">
        <f>C41</f>
        <v>15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>
        <f>C42</f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>
        <f>C43</f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'1-Баланс'!C75-C41</f>
        <v>636</v>
      </c>
      <c r="D44" s="368">
        <f>C44</f>
        <v>636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24199</v>
      </c>
      <c r="D45" s="438">
        <f>D26+D30+D31+D33+D32+D34+D35+D40</f>
        <v>24199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24199</v>
      </c>
      <c r="D46" s="444">
        <f>D45+D23+D21+D11</f>
        <v>24199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18150</v>
      </c>
      <c r="D54" s="138">
        <f>SUM(D55:D57)</f>
        <v>0</v>
      </c>
      <c r="E54" s="136">
        <f>C54-D54</f>
        <v>18150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f>'1-Баланс'!G44</f>
        <v>18150</v>
      </c>
      <c r="D55" s="197"/>
      <c r="E55" s="136">
        <f>C55-D55</f>
        <v>18150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'1-Баланс'!G49</f>
        <v>1945</v>
      </c>
      <c r="D66" s="197"/>
      <c r="E66" s="136">
        <f t="shared" si="2"/>
        <v>1945</v>
      </c>
      <c r="F66" s="196"/>
    </row>
    <row r="67" spans="1:6" ht="15.75">
      <c r="A67" s="370" t="s">
        <v>684</v>
      </c>
      <c r="B67" s="135" t="s">
        <v>685</v>
      </c>
      <c r="C67" s="197">
        <v>1667</v>
      </c>
      <c r="D67" s="197"/>
      <c r="E67" s="136">
        <f t="shared" si="2"/>
        <v>1667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20095</v>
      </c>
      <c r="D68" s="435">
        <f>D54+D58+D63+D64+D65+D66</f>
        <v>0</v>
      </c>
      <c r="E68" s="436">
        <f t="shared" si="2"/>
        <v>20095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'1-Баланс'!G54</f>
        <v>898</v>
      </c>
      <c r="D70" s="197"/>
      <c r="E70" s="136">
        <f t="shared" si="2"/>
        <v>898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1443</v>
      </c>
      <c r="D73" s="137">
        <f>SUM(D74:D76)</f>
        <v>1443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'1-Баланс'!G62</f>
        <v>1443</v>
      </c>
      <c r="D74" s="197">
        <f>'1-Баланс'!G62</f>
        <v>1443</v>
      </c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18156</v>
      </c>
      <c r="D77" s="138">
        <f>D78+D80</f>
        <v>18156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18156</v>
      </c>
      <c r="D78" s="197">
        <f>'1-Баланс'!G59</f>
        <v>18156</v>
      </c>
      <c r="E78" s="136">
        <f t="shared" si="2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13263</v>
      </c>
      <c r="D87" s="134">
        <f>SUM(D88:D92)+D96</f>
        <v>13263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8952</v>
      </c>
      <c r="D89" s="197">
        <f>'1-Баланс'!G64</f>
        <v>8952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2765</v>
      </c>
      <c r="D90" s="197">
        <f>'1-Баланс'!G65</f>
        <v>2765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956</v>
      </c>
      <c r="D91" s="197">
        <f>'1-Баланс'!G66</f>
        <v>956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237</v>
      </c>
      <c r="D92" s="138">
        <f>SUM(D93:D95)</f>
        <v>237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>
        <v>129</v>
      </c>
      <c r="D94" s="197">
        <v>549</v>
      </c>
      <c r="E94" s="136">
        <f t="shared" si="2"/>
        <v>-420</v>
      </c>
      <c r="F94" s="196"/>
    </row>
    <row r="95" spans="1:6" ht="15.75">
      <c r="A95" s="370" t="s">
        <v>641</v>
      </c>
      <c r="B95" s="135" t="s">
        <v>732</v>
      </c>
      <c r="C95" s="197">
        <f>'1-Баланс'!G68-C94</f>
        <v>108</v>
      </c>
      <c r="D95" s="197">
        <f>'1-Баланс'!G68-D94</f>
        <v>-312</v>
      </c>
      <c r="E95" s="136">
        <f t="shared" si="2"/>
        <v>420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353</v>
      </c>
      <c r="D96" s="197">
        <f>'1-Баланс'!G67</f>
        <v>353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324</v>
      </c>
      <c r="D97" s="197">
        <f>'1-Баланс'!G69</f>
        <v>324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33186</v>
      </c>
      <c r="D98" s="433">
        <f>D87+D82+D77+D73+D97</f>
        <v>33186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54179</v>
      </c>
      <c r="D99" s="427">
        <f>D98+D70+D68</f>
        <v>33186</v>
      </c>
      <c r="E99" s="427">
        <f>E98+E70+E68</f>
        <v>20993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f>'1-Баланс'!H70</f>
        <v>1094</v>
      </c>
      <c r="D106" s="280">
        <f>'1-Баланс'!G70-'Справка 7'!C106</f>
        <v>213</v>
      </c>
      <c r="E106" s="280"/>
      <c r="F106" s="423">
        <f>C106+D106-E106</f>
        <v>1307</v>
      </c>
    </row>
    <row r="107" spans="1:6" ht="16.5" thickBot="1">
      <c r="A107" s="418" t="s">
        <v>752</v>
      </c>
      <c r="B107" s="424" t="s">
        <v>753</v>
      </c>
      <c r="C107" s="425">
        <f>SUM(C104:C106)</f>
        <v>1094</v>
      </c>
      <c r="D107" s="425">
        <f>SUM(D104:D106)</f>
        <v>213</v>
      </c>
      <c r="E107" s="425">
        <f>SUM(E104:E106)</f>
        <v>0</v>
      </c>
      <c r="F107" s="426">
        <f>SUM(F104:F106)</f>
        <v>1307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45007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Людмила Стамова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45007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Людмила Стамова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Chonka Neikova</cp:lastModifiedBy>
  <cp:lastPrinted>2022-03-15T09:47:43Z</cp:lastPrinted>
  <dcterms:created xsi:type="dcterms:W3CDTF">2006-09-16T00:00:00Z</dcterms:created>
  <dcterms:modified xsi:type="dcterms:W3CDTF">2023-03-22T13:00:50Z</dcterms:modified>
  <cp:category/>
  <cp:version/>
  <cp:contentType/>
  <cp:contentStatus/>
</cp:coreProperties>
</file>