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2210" windowHeight="6840" tabRatio="877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<sst xmlns="http://schemas.openxmlformats.org/spreadsheetml/2006/main" count="4319" uniqueCount="1001">
  <si>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</si>
  <si>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</si>
  <si>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</si>
  <si>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</si>
  <si>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</si>
  <si>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</si>
  <si>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</si>
  <si>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</si>
  <si>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</si>
  <si>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</si>
  <si>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</si>
  <si>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</si>
  <si>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</si>
  <si>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</si>
  <si>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</si>
  <si>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</si>
  <si>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</si>
  <si>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</si>
  <si>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</si>
  <si>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</si>
  <si>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</si>
  <si>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</si>
  <si>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</si>
  <si>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</si>
  <si>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</si>
  <si>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</si>
  <si>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</si>
  <si>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</si>
  <si>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</si>
  <si>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</si>
  <si>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</si>
  <si>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</si>
  <si>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</si>
  <si>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</si>
  <si>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</si>
  <si>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</si>
  <si>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</si>
  <si>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</si>
  <si>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</si>
  <si>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</si>
  <si>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</si>
  <si>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</si>
  <si>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</si>
  <si>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</si>
  <si>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</si>
  <si>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</si>
  <si>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</si>
  <si>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</si>
  <si>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</si>
  <si>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</si>
  <si>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</si>
  <si>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</si>
  <si>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</si>
  <si>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</si>
  <si>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</si>
  <si>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</si>
  <si>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</si>
  <si>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</si>
  <si>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</si>
  <si>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</si>
  <si>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</si>
  <si>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</si>
  <si>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</si>
  <si>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</si>
  <si>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</si>
  <si>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</si>
  <si>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</si>
  <si>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</si>
  <si>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</si>
  <si>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</si>
  <si>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</si>
  <si>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</si>
  <si>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</si>
  <si>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</si>
  <si>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</si>
  <si>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</si>
  <si>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</si>
  <si>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</si>
  <si>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</si>
  <si>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</si>
  <si>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</si>
  <si>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</si>
  <si>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</si>
  <si>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</si>
  <si>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</si>
  <si>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</si>
  <si>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</si>
  <si>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</si>
  <si>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</si>
  <si>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</si>
  <si>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</si>
  <si>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</si>
  <si>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</si>
  <si>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</si>
  <si>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</si>
  <si>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</si>
  <si>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</si>
  <si>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</si>
  <si>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</si>
  <si>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</si>
  <si>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</si>
  <si>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</si>
  <si>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</si>
  <si>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</si>
  <si>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</si>
  <si>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</si>
  <si>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</si>
  <si>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</si>
  <si>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</si>
  <si>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</si>
  <si>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</si>
  <si>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</si>
  <si>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</si>
  <si>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</si>
  <si>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</si>
  <si>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</si>
  <si>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</si>
  <si>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</si>
  <si>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</si>
  <si>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</si>
  <si>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</si>
  <si>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</si>
  <si>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</si>
  <si>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</si>
  <si>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</si>
  <si>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</si>
  <si>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</si>
  <si>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</si>
  <si>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</si>
  <si>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</si>
  <si>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</si>
  <si>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</si>
  <si>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</si>
  <si>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</si>
  <si>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</si>
  <si>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</si>
  <si>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</si>
  <si>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</si>
  <si>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</si>
  <si>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</si>
  <si>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</si>
  <si>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</si>
  <si>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</si>
  <si>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</si>
  <si>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</si>
  <si>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</si>
  <si>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</si>
  <si>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</si>
  <si>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</si>
  <si>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</si>
  <si>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</si>
  <si>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</si>
  <si>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</si>
  <si>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</si>
  <si>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</si>
  <si>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</si>
  <si>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</si>
  <si>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</si>
  <si>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</si>
  <si>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</si>
  <si>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</si>
  <si>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</si>
  <si>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</si>
  <si>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</si>
  <si>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</si>
  <si>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</si>
  <si>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</si>
  <si>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</si>
  <si>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</si>
  <si>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</si>
  <si>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</si>
  <si>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</si>
  <si>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</si>
  <si>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</si>
  <si>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</si>
  <si>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</si>
  <si>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</si>
  <si>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</si>
  <si>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</si>
  <si>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</si>
  <si>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</si>
  <si>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</si>
  <si>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</si>
  <si>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</si>
  <si>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</si>
  <si>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</si>
  <si>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</si>
  <si>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</si>
  <si>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</si>
  <si>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</si>
  <si>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</si>
  <si>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</si>
  <si>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</si>
  <si>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</si>
  <si>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</si>
  <si>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</si>
  <si>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</si>
  <si>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</si>
  <si>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</si>
  <si>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</si>
  <si>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</si>
  <si>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</si>
  <si>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</si>
  <si>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</si>
  <si>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</si>
  <si>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</si>
  <si>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</si>
  <si>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</si>
  <si>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</si>
  <si>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</si>
  <si>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</si>
  <si>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</si>
  <si>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</si>
  <si>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</si>
  <si>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</si>
  <si>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</si>
  <si>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</si>
  <si>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</si>
  <si>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</si>
  <si>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</si>
  <si>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</si>
  <si>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</si>
  <si>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</si>
  <si>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</si>
  <si>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</si>
  <si>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</si>
  <si>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</si>
  <si>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</si>
  <si>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</si>
  <si>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</si>
  <si>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</si>
  <si>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</si>
  <si>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</si>
  <si>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</si>
  <si>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</si>
  <si>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</si>
  <si>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</si>
  <si>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</si>
  <si>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</si>
  <si>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</si>
  <si>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</si>
  <si>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</si>
  <si>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</si>
  <si>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</si>
  <si>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</si>
  <si>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</si>
  <si>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</si>
  <si>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</si>
  <si>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</si>
  <si>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</si>
  <si>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</si>
  <si>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</si>
  <si>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</si>
  <si>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</si>
  <si>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</si>
  <si>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</si>
  <si>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</si>
  <si>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</si>
  <si>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</si>
  <si>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</si>
  <si>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</si>
  <si>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</si>
  <si>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</si>
  <si>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</si>
  <si>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</si>
  <si>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</si>
  <si>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</si>
  <si>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</si>
  <si>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</si>
  <si>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</si>
  <si>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</si>
  <si>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</si>
  <si>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</si>
  <si>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</si>
  <si>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</si>
  <si>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</si>
  <si>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</si>
  <si>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</si>
  <si>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</si>
  <si>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</si>
  <si>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</si>
  <si>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</si>
  <si>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</si>
  <si>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</si>
  <si>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</si>
  <si>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</si>
  <si>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</si>
  <si>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</si>
  <si>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</si>
  <si>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</si>
  <si>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</si>
  <si>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</si>
  <si>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</si>
  <si>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</si>
  <si>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</si>
  <si>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</si>
  <si>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</si>
  <si>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</si>
  <si>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</si>
  <si>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</si>
  <si>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</si>
  <si>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</si>
  <si>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</si>
  <si>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</si>
  <si>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</si>
  <si>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</si>
  <si>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</si>
  <si>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</si>
  <si>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</si>
  <si>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</si>
  <si>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</si>
  <si>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</si>
  <si>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</si>
  <si>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</si>
  <si>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</si>
  <si>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</si>
  <si>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</si>
  <si>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</si>
  <si>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</si>
  <si>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</si>
  <si>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</si>
  <si>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</si>
  <si>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</si>
  <si>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</si>
  <si>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</si>
  <si>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</si>
  <si>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</si>
  <si>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</si>
  <si>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</si>
  <si>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</si>
  <si>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</si>
  <si>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</si>
  <si>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</si>
  <si>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</si>
  <si>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</si>
  <si>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</si>
  <si>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</si>
  <si>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</si>
  <si>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</si>
  <si>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</si>
  <si>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</si>
  <si>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</si>
  <si>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</si>
  <si>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</si>
  <si>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</si>
  <si>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</si>
  <si>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</si>
  <si>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</si>
  <si>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</si>
  <si>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</si>
  <si>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</si>
  <si>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</si>
  <si>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</si>
  <si>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</si>
  <si>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</si>
  <si>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</si>
  <si>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</si>
  <si>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</si>
  <si>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</si>
  <si>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</si>
  <si>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</si>
  <si>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</si>
  <si>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</si>
  <si>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</si>
  <si>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</si>
  <si>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</si>
  <si>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</si>
  <si>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</si>
  <si>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</si>
  <si>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</si>
  <si>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</si>
  <si>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</si>
  <si>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</si>
  <si>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</si>
  <si>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</si>
  <si>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</si>
  <si>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</si>
  <si>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</si>
  <si>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</si>
  <si>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</si>
  <si>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</si>
  <si>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</si>
  <si>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</si>
  <si>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</si>
  <si>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</si>
  <si>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</si>
  <si>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</si>
  <si>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</si>
  <si>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</si>
  <si>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</si>
  <si>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</si>
  <si>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</si>
  <si>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</si>
  <si>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</si>
  <si>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</si>
  <si>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</si>
  <si>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</si>
  <si>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</si>
  <si>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</si>
  <si>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</si>
  <si>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</si>
  <si>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</si>
  <si>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</si>
  <si>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</si>
  <si>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</si>
  <si>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</si>
  <si>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</si>
  <si>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</si>
  <si>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</si>
  <si>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</si>
  <si>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</si>
  <si>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</si>
  <si>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</si>
  <si>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</si>
  <si>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</si>
  <si>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</si>
  <si>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</si>
  <si>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</si>
  <si>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</si>
  <si>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</si>
  <si>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</si>
  <si>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</si>
  <si>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</si>
  <si>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</si>
  <si>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</si>
  <si>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</si>
  <si>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</si>
  <si>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</si>
  <si>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</si>
  <si>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</si>
  <si>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</si>
  <si>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</si>
  <si>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</si>
  <si>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</si>
  <si>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</si>
  <si>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</si>
  <si>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</si>
  <si>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</si>
  <si>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</si>
  <si>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</si>
  <si>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</si>
  <si>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</si>
  <si>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</si>
  <si>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</si>
  <si>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</si>
  <si>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</si>
  <si>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</si>
  <si>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</si>
  <si>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</si>
  <si>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</si>
  <si>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</si>
  <si>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</si>
  <si>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</si>
  <si>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</si>
  <si>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</si>
  <si>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</si>
  <si>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</si>
  <si>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</si>
  <si>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</si>
  <si>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</si>
  <si>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</si>
  <si>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</si>
  <si>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</si>
  <si>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</si>
  <si>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</si>
  <si>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</si>
  <si>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</si>
  <si>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</si>
  <si>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</si>
  <si>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</si>
  <si>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</si>
  <si>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</si>
  <si>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</si>
  <si>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</si>
  <si>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</si>
  <si>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</si>
  <si>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</si>
  <si>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</si>
  <si>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</si>
  <si>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</si>
  <si>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</si>
  <si>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</si>
  <si>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</si>
  <si>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</si>
  <si>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</si>
  <si>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</si>
  <si>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</si>
  <si>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</si>
  <si>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</si>
  <si>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</si>
  <si>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</si>
  <si>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</si>
  <si>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</si>
  <si>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</si>
  <si>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</si>
  <si>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</si>
  <si>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</si>
  <si>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</si>
  <si>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</si>
  <si>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</si>
  <si>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</si>
  <si>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</si>
  <si>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</si>
  <si>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</si>
  <si>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</si>
  <si>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</si>
  <si>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</si>
  <si>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</si>
  <si>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</si>
  <si>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</si>
  <si>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</si>
  <si>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</si>
  <si>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</si>
  <si>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</si>
  <si>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</si>
  <si>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</si>
  <si>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</si>
  <si>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</si>
  <si>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</si>
  <si>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</si>
  <si>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</si>
  <si>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</si>
  <si>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</si>
  <si>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</si>
  <si>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</si>
  <si>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</si>
  <si>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</si>
  <si>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</si>
  <si>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</si>
  <si>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</si>
  <si>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</si>
  <si>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</si>
  <si>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</si>
  <si>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</si>
  <si>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</si>
  <si>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</si>
  <si>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</si>
  <si>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</si>
  <si>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</si>
  <si>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</si>
  <si>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</si>
  <si>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</si>
  <si>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</si>
  <si>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</si>
  <si>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</si>
  <si>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</si>
  <si>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</si>
  <si>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</si>
  <si>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</si>
  <si>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</si>
  <si>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</si>
  <si>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</si>
  <si>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</si>
  <si>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</si>
  <si>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</si>
  <si>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</si>
  <si>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</si>
  <si>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</si>
  <si>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</si>
  <si>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</si>
  <si>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</si>
  <si>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</si>
  <si>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</si>
  <si>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</si>
  <si>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</si>
  <si>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</si>
  <si>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</si>
  <si>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</si>
  <si>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</si>
  <si>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</si>
  <si>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</si>
  <si>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</si>
  <si>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</si>
  <si>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</si>
  <si>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</si>
  <si>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</si>
  <si>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</si>
  <si>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</si>
  <si>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</si>
  <si>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</si>
  <si>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</si>
  <si>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</si>
  <si>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</si>
  <si>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</si>
  <si>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</si>
  <si>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</si>
  <si>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</si>
  <si>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</si>
  <si>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</si>
  <si>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</si>
  <si>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</si>
  <si>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</si>
  <si>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</si>
  <si>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</si>
  <si>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</si>
  <si>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</si>
  <si>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</si>
  <si>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</si>
  <si>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</si>
  <si>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</si>
  <si>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</si>
  <si>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</si>
  <si>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</si>
  <si>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</si>
  <si>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</si>
  <si>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</si>
  <si>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</si>
  <si>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</si>
  <si>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</si>
  <si>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</si>
  <si>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</si>
  <si>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</si>
  <si>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</si>
  <si>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</si>
  <si>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</si>
  <si>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</si>
  <si>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</si>
  <si>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</si>
  <si>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</si>
  <si>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</si>
  <si>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</si>
  <si>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</si>
  <si>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</si>
  <si>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</si>
  <si>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</si>
  <si>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</si>
  <si>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</si>
  <si>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</si>
  <si>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</si>
  <si>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</si>
  <si>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</si>
  <si>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</si>
  <si>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</si>
  <si>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</si>
  <si>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</si>
  <si>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</si>
  <si>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</si>
  <si>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</si>
  <si>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</si>
  <si>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</si>
  <si>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</si>
  <si>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</si>
  <si>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</si>
  <si>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</si>
  <si>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</si>
  <si>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</si>
  <si>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</si>
  <si>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</si>
  <si>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</si>
  <si>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</si>
  <si>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</si>
  <si>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</si>
  <si>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</si>
  <si>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</si>
  <si>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</si>
  <si>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</si>
  <si>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</si>
  <si>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</si>
  <si>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</si>
  <si>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</si>
  <si>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</si>
  <si>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</si>
  <si>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</si>
  <si>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</si>
  <si>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</si>
  <si>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</si>
  <si>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</si>
  <si>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</si>
  <si>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</si>
  <si>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</si>
  <si>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</si>
  <si>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</si>
  <si>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</si>
  <si>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</si>
  <si>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</si>
  <si>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</si>
  <si>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</si>
  <si>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</si>
  <si>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</si>
  <si>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</si>
  <si>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</si>
  <si>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</si>
  <si>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</si>
  <si>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</si>
  <si>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</si>
  <si>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</si>
  <si>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</si>
  <si>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</si>
  <si>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</si>
  <si>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</si>
  <si>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</si>
  <si>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</si>
  <si>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</si>
  <si>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</si>
  <si>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</si>
  <si>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</si>
  <si>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</si>
  <si>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</si>
  <si>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</si>
  <si>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</si>
  <si>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</si>
  <si>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</si>
  <si>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</si>
  <si>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</si>
  <si>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</si>
  <si>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</si>
  <si>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</si>
  <si>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</si>
  <si>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</si>
  <si>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</si>
  <si>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</si>
  <si>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</si>
  <si>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</si>
  <si>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</si>
  <si>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</si>
  <si>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</si>
  <si>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</si>
  <si>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</si>
  <si>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</si>
  <si>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</si>
  <si>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</si>
  <si>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</si>
  <si>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</si>
  <si>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</si>
  <si>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</si>
  <si>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</si>
  <si>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</si>
  <si>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</si>
  <si>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</si>
  <si>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</si>
  <si>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</si>
  <si>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</si>
  <si>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</si>
  <si>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</si>
  <si>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</si>
  <si>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</si>
  <si>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</si>
  <si>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</si>
  <si>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</si>
  <si>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</si>
  <si>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</si>
  <si>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</si>
  <si>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</si>
  <si>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</si>
  <si>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</si>
  <si>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</si>
  <si>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</si>
  <si>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</si>
  <si>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</si>
  <si>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</si>
  <si>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</si>
  <si>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</si>
  <si>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</si>
  <si>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</si>
  <si>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</si>
  <si>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</si>
  <si>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</si>
  <si>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</si>
  <si>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</si>
  <si>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</si>
  <si>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</si>
  <si>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</si>
  <si>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</si>
  <si>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</si>
  <si>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</si>
  <si>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</si>
  <si>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</si>
  <si>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</si>
  <si>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</si>
  <si>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</si>
  <si>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</si>
  <si>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</si>
  <si>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</si>
  <si>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</si>
  <si>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</si>
  <si>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</si>
  <si>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</si>
  <si>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</si>
  <si>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</si>
  <si>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</si>
  <si>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</si>
  <si>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</si>
  <si>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</si>
  <si>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</si>
  <si>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</si>
  <si>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</si>
  <si>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</si>
  <si>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</si>
  <si>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</si>
  <si>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</si>
  <si>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</si>
  <si>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</si>
  <si>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</si>
  <si>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</si>
  <si>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</si>
  <si>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</si>
  <si>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</si>
  <si>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</si>
  <si>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</si>
  <si>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</si>
  <si>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</si>
  <si>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</si>
  <si>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</si>
  <si>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</si>
  <si>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</si>
  <si>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</si>
  <si>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</si>
  <si>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</si>
  <si>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</si>
  <si>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</si>
  <si>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</si>
  <si>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</si>
  <si>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</si>
  <si>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</si>
  <si>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</si>
  <si>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</si>
  <si>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</si>
  <si>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</si>
  <si>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</si>
  <si>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</si>
  <si>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</si>
  <si>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</si>
  <si>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</si>
  <si>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</si>
  <si>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</si>
  <si>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</si>
  <si>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</si>
  <si>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</si>
  <si>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</si>
  <si>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</si>
  <si>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</si>
  <si>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</si>
  <si>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</si>
  <si>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</si>
  <si>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</si>
  <si>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</si>
  <si>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</si>
  <si>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</si>
  <si>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</si>
  <si>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</si>
  <si>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</si>
  <si>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</si>
  <si>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</si>
  <si>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</si>
  <si>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</si>
  <si>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</si>
  <si>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</si>
  <si>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</si>
  <si>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</si>
  <si>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</si>
  <si>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</si>
  <si>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</si>
  <si>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</si>
  <si>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</si>
  <si>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</si>
  <si>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</si>
  <si>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</si>
  <si>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</si>
  <si>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</si>
  <si>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</si>
  <si>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</si>
  <si>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</si>
  <si>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</si>
  <si>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</si>
  <si>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</si>
  <si>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</si>
  <si>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</si>
  <si>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</si>
  <si>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</si>
  <si>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</si>
  <si>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</si>
  <si>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</si>
  <si>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</si>
  <si>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</si>
  <si>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</si>
  <si>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</si>
  <si>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</si>
  <si>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</si>
  <si>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</si>
  <si>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</si>
  <si>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</si>
  <si>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</si>
  <si>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</si>
  <si>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</si>
  <si>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</si>
  <si>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</si>
  <si>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</si>
  <si>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</si>
  <si>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</si>
  <si>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</si>
  <si>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</si>
  <si>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</si>
  <si>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</si>
  <si>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</si>
  <si>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</si>
  <si>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</si>
  <si>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</si>
  <si>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</si>
  <si>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</si>
  <si>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</si>
  <si>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</si>
  <si>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</si>
  <si>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</si>
  <si>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</si>
  <si>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</si>
  <si>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</si>
  <si>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</si>
  <si>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</si>
  <si>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</si>
  <si>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</si>
  <si>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</si>
  <si>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</si>
  <si>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</si>
  <si>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</si>
  <si>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</si>
  <si>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</si>
  <si>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</si>
  <si>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</si>
  <si>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</si>
  <si>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</si>
  <si>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</si>
  <si>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</si>
  <si>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</si>
  <si>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</si>
  <si>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</si>
  <si>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</si>
  <si>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</si>
  <si>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</si>
  <si>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</si>
  <si>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</si>
  <si>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</si>
  <si>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</si>
  <si>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</si>
  <si>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</si>
  <si>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</si>
  <si>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</si>
  <si>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</si>
  <si>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</si>
  <si>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</si>
  <si>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</si>
  <si>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</si>
  <si>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</si>
  <si>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</si>
  <si>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</si>
  <si>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</si>
  <si>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</si>
  <si>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</si>
  <si>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</si>
  <si>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</si>
  <si>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</si>
  <si>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</si>
  <si>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</si>
  <si>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</si>
  <si>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</si>
  <si>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</si>
  <si>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</si>
  <si>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</si>
  <si>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</si>
  <si>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</si>
  <si>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</si>
  <si>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</si>
  <si>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</si>
  <si>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</si>
  <si>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</si>
  <si>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</si>
  <si>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</si>
  <si>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</si>
  <si>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</si>
  <si>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</si>
  <si>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</si>
  <si>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</si>
  <si>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</si>
  <si>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</si>
  <si>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</si>
  <si>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</si>
  <si>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</si>
  <si>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</si>
  <si>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</si>
  <si>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</si>
  <si>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</si>
  <si>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</si>
  <si>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</si>
  <si>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</si>
  <si>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</si>
  <si>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</si>
  <si>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</si>
  <si>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</si>
  <si>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</si>
  <si>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</si>
  <si>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</si>
  <si>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</si>
  <si>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</si>
  <si>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</si>
  <si>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</si>
  <si>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</si>
  <si>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</si>
  <si>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</si>
  <si>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</si>
  <si>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</si>
  <si>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</si>
  <si>
    <t>Преслав Козовски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</si>
</sst>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4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11" fillId="0" borderId="34" xfId="61" applyNumberFormat="1" applyFont="1" applyBorder="1" applyAlignment="1" applyProtection="1">
      <alignment horizontal="center" vertical="center" wrapText="1"/>
      <protection/>
    </xf>
    <xf numFmtId="3" fontId="4" fillId="34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1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1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2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3" xfId="0" applyFont="1" applyFill="1" applyBorder="1" applyAlignment="1">
      <alignment horizontal="left" vertical="center"/>
    </xf>
    <xf numFmtId="0" fontId="73" fillId="38" borderId="44" xfId="0" applyFont="1" applyFill="1" applyBorder="1" applyAlignment="1">
      <alignment horizontal="left" vertical="center"/>
    </xf>
    <xf numFmtId="0" fontId="74" fillId="38" borderId="45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6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 wrapText="1"/>
    </xf>
    <xf numFmtId="0" fontId="77" fillId="4" borderId="46" xfId="0" applyFont="1" applyFill="1" applyBorder="1" applyAlignment="1" applyProtection="1">
      <alignment horizontal="center" vertical="center"/>
      <protection/>
    </xf>
    <xf numFmtId="0" fontId="77" fillId="4" borderId="46" xfId="0" applyFont="1" applyFill="1" applyBorder="1" applyAlignment="1">
      <alignment horizontal="center" vertical="center"/>
    </xf>
    <xf numFmtId="0" fontId="77" fillId="10" borderId="46" xfId="0" applyFont="1" applyFill="1" applyBorder="1" applyAlignment="1">
      <alignment horizontal="center" vertical="center"/>
    </xf>
    <xf numFmtId="0" fontId="77" fillId="16" borderId="46" xfId="0" applyFont="1" applyFill="1" applyBorder="1" applyAlignment="1">
      <alignment horizontal="center" vertical="center"/>
    </xf>
    <xf numFmtId="0" fontId="77" fillId="22" borderId="46" xfId="0" applyFont="1" applyFill="1" applyBorder="1" applyAlignment="1">
      <alignment horizontal="center" vertical="center"/>
    </xf>
    <xf numFmtId="3" fontId="78" fillId="0" borderId="46" xfId="0" applyNumberFormat="1" applyFont="1" applyBorder="1" applyAlignment="1">
      <alignment horizontal="right" vertical="center" indent="1"/>
    </xf>
    <xf numFmtId="4" fontId="78" fillId="0" borderId="46" xfId="0" applyNumberFormat="1" applyFont="1" applyBorder="1" applyAlignment="1">
      <alignment horizontal="right" vertical="center" indent="1"/>
    </xf>
    <xf numFmtId="0" fontId="79" fillId="0" borderId="46" xfId="0" applyFont="1" applyFill="1" applyBorder="1" applyAlignment="1">
      <alignment horizontal="center" vertical="center"/>
    </xf>
    <xf numFmtId="0" fontId="79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80" fillId="0" borderId="47" xfId="70" applyNumberFormat="1" applyFont="1" applyFill="1" applyBorder="1" applyAlignment="1" applyProtection="1">
      <alignment horizontal="centerContinuous"/>
      <protection/>
    </xf>
    <xf numFmtId="0" fontId="81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7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49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6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23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5" applyNumberFormat="1" applyFont="1" applyProtection="1">
      <alignment/>
      <protection/>
    </xf>
    <xf numFmtId="3" fontId="84" fillId="34" borderId="20" xfId="66" applyNumberFormat="1" applyFont="1" applyFill="1" applyBorder="1" applyAlignment="1" applyProtection="1">
      <alignment horizontal="right" vertical="center" wrapText="1"/>
      <protection locked="0"/>
    </xf>
    <xf numFmtId="3" fontId="84" fillId="34" borderId="28" xfId="6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4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1" t="s">
        <v>963</v>
      </c>
      <c r="B1" s="2"/>
      <c r="Z1" s="680">
        <v>1</v>
      </c>
      <c r="AA1" s="681">
        <f>IF(ISBLANK(_endDate),"",_endDate)</f>
        <v>45107</v>
      </c>
    </row>
    <row r="2" spans="1:27" ht="15.75">
      <c r="A2" s="668" t="s">
        <v>964</v>
      </c>
      <c r="B2" s="663"/>
      <c r="Z2" s="680">
        <v>2</v>
      </c>
      <c r="AA2" s="681">
        <f>IF(ISBLANK(_pdeReportingDate),"",_pdeReportingDate)</f>
        <v>45131</v>
      </c>
    </row>
    <row r="3" spans="1:27" ht="15.75">
      <c r="A3" s="664" t="s">
        <v>962</v>
      </c>
      <c r="B3" s="665"/>
      <c r="Z3" s="680">
        <v>3</v>
      </c>
      <c r="AA3" s="681" t="str">
        <f>IF(ISBLANK(_authorName),"",_authorName)</f>
        <v>Людмила Стамова</v>
      </c>
    </row>
    <row r="4" spans="1:2" ht="15.75">
      <c r="A4" s="662" t="s">
        <v>965</v>
      </c>
      <c r="B4" s="663"/>
    </row>
    <row r="5" spans="1:2" ht="47.25">
      <c r="A5" s="666" t="s">
        <v>929</v>
      </c>
      <c r="B5" s="66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44927</v>
      </c>
    </row>
    <row r="10" spans="1:2" ht="15.75">
      <c r="A10" s="7" t="s">
        <v>2</v>
      </c>
      <c r="B10" s="560">
        <v>45107</v>
      </c>
    </row>
    <row r="11" spans="1:2" ht="15.75">
      <c r="A11" s="7" t="s">
        <v>977</v>
      </c>
      <c r="B11" s="560">
        <v>45131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989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990</v>
      </c>
    </row>
    <row r="17" spans="1:2" ht="15.75">
      <c r="A17" s="7" t="s">
        <v>920</v>
      </c>
      <c r="B17" s="559" t="s">
        <v>991</v>
      </c>
    </row>
    <row r="18" spans="1:2" ht="15.75">
      <c r="A18" s="7" t="s">
        <v>919</v>
      </c>
      <c r="B18" s="559" t="s">
        <v>992</v>
      </c>
    </row>
    <row r="19" spans="1:2" ht="15.75">
      <c r="A19" s="7" t="s">
        <v>4</v>
      </c>
      <c r="B19" s="559" t="s">
        <v>998</v>
      </c>
    </row>
    <row r="20" spans="1:2" ht="15.75">
      <c r="A20" s="7" t="s">
        <v>5</v>
      </c>
      <c r="B20" s="559" t="s">
        <v>998</v>
      </c>
    </row>
    <row r="21" spans="1:2" ht="15.75">
      <c r="A21" s="10" t="s">
        <v>6</v>
      </c>
      <c r="B21" s="561" t="s">
        <v>993</v>
      </c>
    </row>
    <row r="22" spans="1:2" ht="15.75">
      <c r="A22" s="10" t="s">
        <v>917</v>
      </c>
      <c r="B22" s="561" t="s">
        <v>997</v>
      </c>
    </row>
    <row r="23" spans="1:2" ht="15.75">
      <c r="A23" s="10" t="s">
        <v>7</v>
      </c>
      <c r="B23" s="670" t="s">
        <v>994</v>
      </c>
    </row>
    <row r="24" spans="1:2" ht="15.75">
      <c r="A24" s="10" t="s">
        <v>918</v>
      </c>
      <c r="B24" s="671"/>
    </row>
    <row r="25" spans="1:2" ht="15.75">
      <c r="A25" s="7" t="s">
        <v>921</v>
      </c>
      <c r="B25" s="672"/>
    </row>
    <row r="26" spans="1:2" ht="15.75">
      <c r="A26" s="10" t="s">
        <v>970</v>
      </c>
      <c r="B26" s="561" t="s">
        <v>995</v>
      </c>
    </row>
    <row r="27" spans="1:2" ht="15.75">
      <c r="A27" s="10" t="s">
        <v>971</v>
      </c>
      <c r="B27" s="561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6" t="s">
        <v>881</v>
      </c>
      <c r="B2" s="624"/>
      <c r="C2" s="624"/>
      <c r="D2" s="625"/>
    </row>
    <row r="3" spans="1:5" ht="31.5">
      <c r="A3" s="574">
        <v>1</v>
      </c>
      <c r="B3" s="572" t="s">
        <v>885</v>
      </c>
      <c r="C3" s="573" t="s">
        <v>884</v>
      </c>
      <c r="D3" s="623">
        <f>(ABS('1-Баланс'!G32)-ABS('1-Баланс'!G33))/'2-Отчет за доходите'!G16</f>
        <v>-0.060501263967071076</v>
      </c>
      <c r="E3" s="627"/>
    </row>
    <row r="4" spans="1:4" ht="31.5">
      <c r="A4" s="574">
        <v>2</v>
      </c>
      <c r="B4" s="572" t="s">
        <v>911</v>
      </c>
      <c r="C4" s="573" t="s">
        <v>888</v>
      </c>
      <c r="D4" s="623">
        <f>(ABS('1-Баланс'!G32)-ABS('1-Баланс'!G33))/'1-Баланс'!G37</f>
        <v>-0.07947461330502302</v>
      </c>
    </row>
    <row r="5" spans="1:4" ht="31.5">
      <c r="A5" s="574">
        <v>3</v>
      </c>
      <c r="B5" s="572" t="s">
        <v>889</v>
      </c>
      <c r="C5" s="573" t="s">
        <v>890</v>
      </c>
      <c r="D5" s="623">
        <f>(ABS('1-Баланс'!G32)-ABS('1-Баланс'!G33))/('1-Баланс'!G56+'1-Баланс'!G79)</f>
        <v>-0.18518625053933555</v>
      </c>
    </row>
    <row r="6" spans="1:4" ht="31.5">
      <c r="A6" s="574">
        <v>4</v>
      </c>
      <c r="B6" s="572" t="s">
        <v>912</v>
      </c>
      <c r="C6" s="573" t="s">
        <v>891</v>
      </c>
      <c r="D6" s="623">
        <f>(ABS('1-Баланс'!G32)-ABS('1-Баланс'!G33))/('1-Баланс'!C95)</f>
        <v>-0.05560930103997512</v>
      </c>
    </row>
    <row r="7" spans="1:4" ht="24" customHeight="1">
      <c r="A7" s="626" t="s">
        <v>892</v>
      </c>
      <c r="B7" s="624"/>
      <c r="C7" s="624"/>
      <c r="D7" s="625"/>
    </row>
    <row r="8" spans="1:4" ht="31.5">
      <c r="A8" s="574">
        <v>5</v>
      </c>
      <c r="B8" s="572" t="s">
        <v>893</v>
      </c>
      <c r="C8" s="573" t="s">
        <v>894</v>
      </c>
      <c r="D8" s="622">
        <f>'2-Отчет за доходите'!G36/'2-Отчет за доходите'!C36</f>
        <v>0.9429659815733522</v>
      </c>
    </row>
    <row r="9" spans="1:4" ht="24" customHeight="1">
      <c r="A9" s="626" t="s">
        <v>895</v>
      </c>
      <c r="B9" s="624"/>
      <c r="C9" s="624"/>
      <c r="D9" s="625"/>
    </row>
    <row r="10" spans="1:4" ht="31.5">
      <c r="A10" s="574">
        <v>6</v>
      </c>
      <c r="B10" s="572" t="s">
        <v>896</v>
      </c>
      <c r="C10" s="573" t="s">
        <v>897</v>
      </c>
      <c r="D10" s="622">
        <f>'1-Баланс'!C94/'1-Баланс'!G79</f>
        <v>2.578396056498246</v>
      </c>
    </row>
    <row r="11" spans="1:4" ht="63">
      <c r="A11" s="574">
        <v>7</v>
      </c>
      <c r="B11" s="572" t="s">
        <v>898</v>
      </c>
      <c r="C11" s="573" t="s">
        <v>966</v>
      </c>
      <c r="D11" s="622">
        <f>('1-Баланс'!C76+'1-Баланс'!C85+'1-Баланс'!C92)/'1-Баланс'!G79</f>
        <v>0.5422788889942175</v>
      </c>
    </row>
    <row r="12" spans="1:4" ht="47.25">
      <c r="A12" s="574">
        <v>8</v>
      </c>
      <c r="B12" s="572" t="s">
        <v>899</v>
      </c>
      <c r="C12" s="573" t="s">
        <v>967</v>
      </c>
      <c r="D12" s="622">
        <f>('1-Баланс'!C85+'1-Баланс'!C92)/'1-Баланс'!G79</f>
        <v>0.13290359275760735</v>
      </c>
    </row>
    <row r="13" spans="1:4" ht="31.5">
      <c r="A13" s="574">
        <v>9</v>
      </c>
      <c r="B13" s="572" t="s">
        <v>900</v>
      </c>
      <c r="C13" s="573" t="s">
        <v>901</v>
      </c>
      <c r="D13" s="622">
        <f>'1-Баланс'!C92/'1-Баланс'!G79</f>
        <v>0.13290359275760735</v>
      </c>
    </row>
    <row r="14" spans="1:4" ht="24" customHeight="1">
      <c r="A14" s="626" t="s">
        <v>902</v>
      </c>
      <c r="B14" s="624"/>
      <c r="C14" s="624"/>
      <c r="D14" s="625"/>
    </row>
    <row r="15" spans="1:4" ht="31.5">
      <c r="A15" s="574">
        <v>10</v>
      </c>
      <c r="B15" s="572" t="s">
        <v>916</v>
      </c>
      <c r="C15" s="573" t="s">
        <v>903</v>
      </c>
      <c r="D15" s="622">
        <f>'2-Отчет за доходите'!G16/('1-Баланс'!C20+'1-Баланс'!C21+'1-Баланс'!C22+'1-Баланс'!C28+'1-Баланс'!C65)</f>
        <v>1.0474348373887707</v>
      </c>
    </row>
    <row r="16" spans="1:4" ht="31.5">
      <c r="A16" s="629">
        <v>11</v>
      </c>
      <c r="B16" s="572" t="s">
        <v>902</v>
      </c>
      <c r="C16" s="573" t="s">
        <v>915</v>
      </c>
      <c r="D16" s="630">
        <f>'2-Отчет за доходите'!G16/('1-Баланс'!C95)</f>
        <v>0.9191427979131396</v>
      </c>
    </row>
    <row r="17" spans="1:4" ht="24" customHeight="1">
      <c r="A17" s="626" t="s">
        <v>905</v>
      </c>
      <c r="B17" s="624"/>
      <c r="C17" s="624"/>
      <c r="D17" s="625"/>
    </row>
    <row r="18" spans="1:4" ht="31.5">
      <c r="A18" s="574">
        <v>12</v>
      </c>
      <c r="B18" s="572" t="s">
        <v>932</v>
      </c>
      <c r="C18" s="573" t="s">
        <v>904</v>
      </c>
      <c r="D18" s="622">
        <f>'1-Баланс'!G56/('1-Баланс'!G37+'1-Баланс'!G56)</f>
        <v>0.1443585356063967</v>
      </c>
    </row>
    <row r="19" spans="1:4" ht="31.5">
      <c r="A19" s="574">
        <v>13</v>
      </c>
      <c r="B19" s="572" t="s">
        <v>933</v>
      </c>
      <c r="C19" s="573" t="s">
        <v>906</v>
      </c>
      <c r="D19" s="622">
        <f>D4/D5</f>
        <v>0.42916044292468547</v>
      </c>
    </row>
    <row r="20" spans="1:4" ht="31.5">
      <c r="A20" s="574">
        <v>14</v>
      </c>
      <c r="B20" s="572" t="s">
        <v>907</v>
      </c>
      <c r="C20" s="573" t="s">
        <v>908</v>
      </c>
      <c r="D20" s="622">
        <f>D6/D5</f>
        <v>0.30028849808243785</v>
      </c>
    </row>
    <row r="21" spans="1:5" ht="15.75">
      <c r="A21" s="574">
        <v>15</v>
      </c>
      <c r="B21" s="572" t="s">
        <v>909</v>
      </c>
      <c r="C21" s="573" t="s">
        <v>910</v>
      </c>
      <c r="D21" s="659">
        <f>'2-Отчет за доходите'!C37+'2-Отчет за доходите'!C25</f>
        <v>374</v>
      </c>
      <c r="E21" s="679"/>
    </row>
    <row r="22" spans="1:4" ht="47.25">
      <c r="A22" s="574">
        <v>16</v>
      </c>
      <c r="B22" s="572" t="s">
        <v>913</v>
      </c>
      <c r="C22" s="573" t="s">
        <v>914</v>
      </c>
      <c r="D22" s="628">
        <f>D21/'1-Баланс'!G37</f>
        <v>0.004616884960558964</v>
      </c>
    </row>
    <row r="23" spans="1:4" ht="31.5">
      <c r="A23" s="574">
        <v>17</v>
      </c>
      <c r="B23" s="572" t="s">
        <v>980</v>
      </c>
      <c r="C23" s="573" t="s">
        <v>981</v>
      </c>
      <c r="D23" s="628">
        <f>(D21+'2-Отчет за доходите'!C14)/'2-Отчет за доходите'!G31</f>
        <v>0.01830104657935777</v>
      </c>
    </row>
    <row r="24" spans="1:4" ht="31.5">
      <c r="A24" s="574">
        <v>18</v>
      </c>
      <c r="B24" s="572" t="s">
        <v>982</v>
      </c>
      <c r="C24" s="573" t="s">
        <v>983</v>
      </c>
      <c r="D24" s="628">
        <f>('1-Баланс'!G56+'1-Баланс'!G79)/(D21+'2-Отчет за доходите'!C14)</f>
        <v>17.846509240246405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14503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5350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628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5107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1325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1027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404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28344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27245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3112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155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3274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2510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2510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2510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61373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42722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42729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222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7397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516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495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8637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717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2087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2804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229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54399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115772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8151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42439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39589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39589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-6438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33151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81007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10647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2126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12773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894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13667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3694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15820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873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11218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2188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870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376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295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200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1344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21058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40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21098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115772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1271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3393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1574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7132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1291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94555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3044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2353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112260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374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14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232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620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112880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112880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0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0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112880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102719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1891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1801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106411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31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106442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6438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106442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6438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6438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6438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112880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124220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-96790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-8264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-104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-239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128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18951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-1908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4028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2120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62918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-84897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-572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-336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-22887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45107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-1816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45107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4620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45107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2804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45107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717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45107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2087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45107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5417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45107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45107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45107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45107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5417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45107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45107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45107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45107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45107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45107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45107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45107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45107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45107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45107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45107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45107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45107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5417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45107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45107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45107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5417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45107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45107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45107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45107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45107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45107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45107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45107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45107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45107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45107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45107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45107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45107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45107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45107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45107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45107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45107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45107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45107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45107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45107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8183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45107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45107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45107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45107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8183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45107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45107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45107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45107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45107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45107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45107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45107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45107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45107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45107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45107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45107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-32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45107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8151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45107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45107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45107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8151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45107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45107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45107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45107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45107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45107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45107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45107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45107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45107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45107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45107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45107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45107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45107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45107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45107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45107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45107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45107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45107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45107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45107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45107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45107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45107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45107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45107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45107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45107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45107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45107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45107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45107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45107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45107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45107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45107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45107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45107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45107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45107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45107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45107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45107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45107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45107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45107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45107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45107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45107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45107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45107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45107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45107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45107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45107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45107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45107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45107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45107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45107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45107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45107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45107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45107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45107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44624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45107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45107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45107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45107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44624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45107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45107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-5066.986809999973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45107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-5066.986809999973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45107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45107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45107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45107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45107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45107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45107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45107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45107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45107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32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45107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39589.01319000003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45107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45107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45107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39589.01319000003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45107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-5066.986809999973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45107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45107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45107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45107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-5066.986809999973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45107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-6438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45107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5066.986809999973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45107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5066.986809999973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45107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45107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45107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45107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45107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45107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45107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45107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45107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45107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45107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-6438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45107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45107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45107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-6438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45107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45107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45107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45107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45107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45107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45107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45107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45107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45107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45107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45107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45107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45107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45107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45107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45107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45107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45107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45107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45107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45107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45107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87445.01319000003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45107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45107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45107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45107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87445.01319000003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45107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-6438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45107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45107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45107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45107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45107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45107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45107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45107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45107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45107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45107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45107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45107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81007.01319000003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45107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45107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45107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81007.01319000003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45107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45107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45107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45107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45107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45107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45107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45107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45107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45107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45107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45107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45107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45107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45107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45107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45107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45107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45107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45107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45107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45107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45107</v>
      </c>
      <c r="D461" s="105" t="s">
        <v>523</v>
      </c>
      <c r="E461" s="478">
        <v>1</v>
      </c>
      <c r="F461" s="105" t="s">
        <v>522</v>
      </c>
      <c r="H461" s="105">
        <f>'Справка 6'!D11</f>
        <v>14509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45107</v>
      </c>
      <c r="D462" s="105" t="s">
        <v>526</v>
      </c>
      <c r="E462" s="478">
        <v>1</v>
      </c>
      <c r="F462" s="105" t="s">
        <v>525</v>
      </c>
      <c r="H462" s="105">
        <f>'Справка 6'!D12</f>
        <v>15097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45107</v>
      </c>
      <c r="D463" s="105" t="s">
        <v>529</v>
      </c>
      <c r="E463" s="478">
        <v>1</v>
      </c>
      <c r="F463" s="105" t="s">
        <v>528</v>
      </c>
      <c r="H463" s="105">
        <f>'Справка 6'!D13</f>
        <v>5459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45107</v>
      </c>
      <c r="D464" s="105" t="s">
        <v>532</v>
      </c>
      <c r="E464" s="478">
        <v>1</v>
      </c>
      <c r="F464" s="105" t="s">
        <v>531</v>
      </c>
      <c r="H464" s="105">
        <f>'Справка 6'!D14</f>
        <v>16707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45107</v>
      </c>
      <c r="D465" s="105" t="s">
        <v>535</v>
      </c>
      <c r="E465" s="478">
        <v>1</v>
      </c>
      <c r="F465" s="105" t="s">
        <v>534</v>
      </c>
      <c r="H465" s="105">
        <f>'Справка 6'!D15</f>
        <v>14630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45107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45107</v>
      </c>
      <c r="D467" s="105" t="s">
        <v>540</v>
      </c>
      <c r="E467" s="478">
        <v>1</v>
      </c>
      <c r="F467" s="105" t="s">
        <v>539</v>
      </c>
      <c r="H467" s="105">
        <f>'Справка 6'!D17</f>
        <v>458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45107</v>
      </c>
      <c r="D468" s="105" t="s">
        <v>543</v>
      </c>
      <c r="E468" s="478">
        <v>1</v>
      </c>
      <c r="F468" s="105" t="s">
        <v>542</v>
      </c>
      <c r="H468" s="105">
        <f>'Справка 6'!D18</f>
        <v>3182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45107</v>
      </c>
      <c r="D469" s="105" t="s">
        <v>545</v>
      </c>
      <c r="E469" s="478">
        <v>1</v>
      </c>
      <c r="F469" s="105" t="s">
        <v>828</v>
      </c>
      <c r="H469" s="105">
        <f>'Справка 6'!D19</f>
        <v>70042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45107</v>
      </c>
      <c r="D470" s="105" t="s">
        <v>547</v>
      </c>
      <c r="E470" s="478">
        <v>1</v>
      </c>
      <c r="F470" s="105" t="s">
        <v>546</v>
      </c>
      <c r="H470" s="105">
        <f>'Справка 6'!D20</f>
        <v>28084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45107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45107</v>
      </c>
      <c r="D472" s="105" t="s">
        <v>553</v>
      </c>
      <c r="E472" s="478">
        <v>1</v>
      </c>
      <c r="F472" s="105" t="s">
        <v>552</v>
      </c>
      <c r="H472" s="105">
        <f>'Справка 6'!D23</f>
        <v>9286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45107</v>
      </c>
      <c r="D473" s="105" t="s">
        <v>555</v>
      </c>
      <c r="E473" s="478">
        <v>1</v>
      </c>
      <c r="F473" s="105" t="s">
        <v>554</v>
      </c>
      <c r="H473" s="105">
        <f>'Справка 6'!D24</f>
        <v>1369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45107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45107</v>
      </c>
      <c r="D475" s="105" t="s">
        <v>558</v>
      </c>
      <c r="E475" s="478">
        <v>1</v>
      </c>
      <c r="F475" s="105" t="s">
        <v>542</v>
      </c>
      <c r="H475" s="105">
        <f>'Справка 6'!D26</f>
        <v>179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45107</v>
      </c>
      <c r="D476" s="105" t="s">
        <v>560</v>
      </c>
      <c r="E476" s="478">
        <v>1</v>
      </c>
      <c r="F476" s="105" t="s">
        <v>863</v>
      </c>
      <c r="H476" s="105">
        <f>'Справка 6'!D27</f>
        <v>10834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45107</v>
      </c>
      <c r="D477" s="105" t="s">
        <v>562</v>
      </c>
      <c r="E477" s="478">
        <v>1</v>
      </c>
      <c r="F477" s="105" t="s">
        <v>561</v>
      </c>
      <c r="H477" s="105">
        <f>'Справка 6'!D29</f>
        <v>2510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45107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45107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45107</v>
      </c>
      <c r="D480" s="105" t="s">
        <v>565</v>
      </c>
      <c r="E480" s="478">
        <v>1</v>
      </c>
      <c r="F480" s="105" t="s">
        <v>113</v>
      </c>
      <c r="H480" s="105">
        <f>'Справка 6'!D32</f>
        <v>2510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45107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45107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45107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45107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45107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45107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45107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45107</v>
      </c>
      <c r="D488" s="105" t="s">
        <v>578</v>
      </c>
      <c r="E488" s="478">
        <v>1</v>
      </c>
      <c r="F488" s="105" t="s">
        <v>827</v>
      </c>
      <c r="H488" s="105">
        <f>'Справка 6'!D40</f>
        <v>2510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45107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45107</v>
      </c>
      <c r="D490" s="105" t="s">
        <v>583</v>
      </c>
      <c r="E490" s="478">
        <v>1</v>
      </c>
      <c r="F490" s="105" t="s">
        <v>582</v>
      </c>
      <c r="H490" s="105">
        <f>'Справка 6'!D42</f>
        <v>111470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45107</v>
      </c>
      <c r="D491" s="105" t="s">
        <v>523</v>
      </c>
      <c r="E491" s="478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45107</v>
      </c>
      <c r="D492" s="105" t="s">
        <v>526</v>
      </c>
      <c r="E492" s="478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45107</v>
      </c>
      <c r="D493" s="105" t="s">
        <v>529</v>
      </c>
      <c r="E493" s="478">
        <v>2</v>
      </c>
      <c r="F493" s="105" t="s">
        <v>528</v>
      </c>
      <c r="H493" s="105">
        <f>'Справка 6'!E13</f>
        <v>42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45107</v>
      </c>
      <c r="D494" s="105" t="s">
        <v>532</v>
      </c>
      <c r="E494" s="478">
        <v>2</v>
      </c>
      <c r="F494" s="105" t="s">
        <v>531</v>
      </c>
      <c r="H494" s="105">
        <f>'Справка 6'!E14</f>
        <v>18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45107</v>
      </c>
      <c r="D495" s="105" t="s">
        <v>535</v>
      </c>
      <c r="E495" s="478">
        <v>2</v>
      </c>
      <c r="F495" s="105" t="s">
        <v>534</v>
      </c>
      <c r="H495" s="105">
        <f>'Справка 6'!E15</f>
        <v>5038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45107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45107</v>
      </c>
      <c r="D497" s="105" t="s">
        <v>540</v>
      </c>
      <c r="E497" s="478">
        <v>2</v>
      </c>
      <c r="F497" s="105" t="s">
        <v>539</v>
      </c>
      <c r="H497" s="105">
        <f>'Справка 6'!E17</f>
        <v>1510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45107</v>
      </c>
      <c r="D498" s="105" t="s">
        <v>543</v>
      </c>
      <c r="E498" s="478">
        <v>2</v>
      </c>
      <c r="F498" s="105" t="s">
        <v>542</v>
      </c>
      <c r="H498" s="105">
        <f>'Справка 6'!E18</f>
        <v>86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45107</v>
      </c>
      <c r="D499" s="105" t="s">
        <v>545</v>
      </c>
      <c r="E499" s="478">
        <v>2</v>
      </c>
      <c r="F499" s="105" t="s">
        <v>828</v>
      </c>
      <c r="H499" s="105">
        <f>'Справка 6'!E19</f>
        <v>6694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45107</v>
      </c>
      <c r="D500" s="105" t="s">
        <v>547</v>
      </c>
      <c r="E500" s="478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45107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45107</v>
      </c>
      <c r="D502" s="105" t="s">
        <v>553</v>
      </c>
      <c r="E502" s="478">
        <v>2</v>
      </c>
      <c r="F502" s="105" t="s">
        <v>552</v>
      </c>
      <c r="H502" s="105">
        <f>'Справка 6'!E23</f>
        <v>773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45107</v>
      </c>
      <c r="D503" s="105" t="s">
        <v>555</v>
      </c>
      <c r="E503" s="478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45107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45107</v>
      </c>
      <c r="D505" s="105" t="s">
        <v>558</v>
      </c>
      <c r="E505" s="478">
        <v>2</v>
      </c>
      <c r="F505" s="105" t="s">
        <v>542</v>
      </c>
      <c r="H505" s="105">
        <f>'Справка 6'!E26</f>
        <v>51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45107</v>
      </c>
      <c r="D506" s="105" t="s">
        <v>560</v>
      </c>
      <c r="E506" s="478">
        <v>2</v>
      </c>
      <c r="F506" s="105" t="s">
        <v>863</v>
      </c>
      <c r="H506" s="105">
        <f>'Справка 6'!E27</f>
        <v>824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45107</v>
      </c>
      <c r="D507" s="105" t="s">
        <v>562</v>
      </c>
      <c r="E507" s="478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45107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45107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45107</v>
      </c>
      <c r="D510" s="105" t="s">
        <v>565</v>
      </c>
      <c r="E510" s="478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45107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45107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45107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45107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45107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45107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45107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45107</v>
      </c>
      <c r="D518" s="105" t="s">
        <v>578</v>
      </c>
      <c r="E518" s="478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45107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45107</v>
      </c>
      <c r="D520" s="105" t="s">
        <v>583</v>
      </c>
      <c r="E520" s="478">
        <v>2</v>
      </c>
      <c r="F520" s="105" t="s">
        <v>582</v>
      </c>
      <c r="H520" s="105">
        <f>'Справка 6'!E42</f>
        <v>7518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45107</v>
      </c>
      <c r="D521" s="105" t="s">
        <v>523</v>
      </c>
      <c r="E521" s="478">
        <v>3</v>
      </c>
      <c r="F521" s="105" t="s">
        <v>522</v>
      </c>
      <c r="H521" s="105">
        <f>'Справка 6'!F11</f>
        <v>6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45107</v>
      </c>
      <c r="D522" s="105" t="s">
        <v>526</v>
      </c>
      <c r="E522" s="478">
        <v>3</v>
      </c>
      <c r="F522" s="105" t="s">
        <v>525</v>
      </c>
      <c r="H522" s="105">
        <f>'Справка 6'!F12</f>
        <v>37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45107</v>
      </c>
      <c r="D523" s="105" t="s">
        <v>529</v>
      </c>
      <c r="E523" s="478">
        <v>3</v>
      </c>
      <c r="F523" s="105" t="s">
        <v>528</v>
      </c>
      <c r="H523" s="105">
        <f>'Справка 6'!F13</f>
        <v>329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45107</v>
      </c>
      <c r="D524" s="105" t="s">
        <v>532</v>
      </c>
      <c r="E524" s="478">
        <v>3</v>
      </c>
      <c r="F524" s="105" t="s">
        <v>531</v>
      </c>
      <c r="H524" s="105">
        <f>'Справка 6'!F14</f>
        <v>1035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45107</v>
      </c>
      <c r="D525" s="105" t="s">
        <v>535</v>
      </c>
      <c r="E525" s="478">
        <v>3</v>
      </c>
      <c r="F525" s="105" t="s">
        <v>534</v>
      </c>
      <c r="H525" s="105">
        <f>'Справка 6'!F15</f>
        <v>5984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45107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45107</v>
      </c>
      <c r="D527" s="105" t="s">
        <v>540</v>
      </c>
      <c r="E527" s="478">
        <v>3</v>
      </c>
      <c r="F527" s="105" t="s">
        <v>539</v>
      </c>
      <c r="H527" s="105">
        <f>'Справка 6'!F17</f>
        <v>941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45107</v>
      </c>
      <c r="D528" s="105" t="s">
        <v>543</v>
      </c>
      <c r="E528" s="478">
        <v>3</v>
      </c>
      <c r="F528" s="105" t="s">
        <v>542</v>
      </c>
      <c r="H528" s="105">
        <f>'Справка 6'!F18</f>
        <v>56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45107</v>
      </c>
      <c r="D529" s="105" t="s">
        <v>545</v>
      </c>
      <c r="E529" s="478">
        <v>3</v>
      </c>
      <c r="F529" s="105" t="s">
        <v>828</v>
      </c>
      <c r="H529" s="105">
        <f>'Справка 6'!F19</f>
        <v>8388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45107</v>
      </c>
      <c r="D530" s="105" t="s">
        <v>547</v>
      </c>
      <c r="E530" s="478">
        <v>3</v>
      </c>
      <c r="F530" s="105" t="s">
        <v>546</v>
      </c>
      <c r="H530" s="105">
        <f>'Справка 6'!F20</f>
        <v>839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45107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45107</v>
      </c>
      <c r="D532" s="105" t="s">
        <v>553</v>
      </c>
      <c r="E532" s="478">
        <v>3</v>
      </c>
      <c r="F532" s="105" t="s">
        <v>552</v>
      </c>
      <c r="H532" s="105">
        <f>'Справка 6'!F23</f>
        <v>5022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45107</v>
      </c>
      <c r="D533" s="105" t="s">
        <v>555</v>
      </c>
      <c r="E533" s="478">
        <v>3</v>
      </c>
      <c r="F533" s="105" t="s">
        <v>554</v>
      </c>
      <c r="H533" s="105">
        <f>'Справка 6'!F24</f>
        <v>44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45107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45107</v>
      </c>
      <c r="D535" s="105" t="s">
        <v>558</v>
      </c>
      <c r="E535" s="478">
        <v>3</v>
      </c>
      <c r="F535" s="105" t="s">
        <v>542</v>
      </c>
      <c r="H535" s="105">
        <f>'Справка 6'!F26</f>
        <v>42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45107</v>
      </c>
      <c r="D536" s="105" t="s">
        <v>560</v>
      </c>
      <c r="E536" s="478">
        <v>3</v>
      </c>
      <c r="F536" s="105" t="s">
        <v>863</v>
      </c>
      <c r="H536" s="105">
        <f>'Справка 6'!F27</f>
        <v>5108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45107</v>
      </c>
      <c r="D537" s="105" t="s">
        <v>562</v>
      </c>
      <c r="E537" s="478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45107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45107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45107</v>
      </c>
      <c r="D540" s="105" t="s">
        <v>565</v>
      </c>
      <c r="E540" s="478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45107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45107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45107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45107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45107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45107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45107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45107</v>
      </c>
      <c r="D548" s="105" t="s">
        <v>578</v>
      </c>
      <c r="E548" s="478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45107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45107</v>
      </c>
      <c r="D550" s="105" t="s">
        <v>583</v>
      </c>
      <c r="E550" s="478">
        <v>3</v>
      </c>
      <c r="F550" s="105" t="s">
        <v>582</v>
      </c>
      <c r="H550" s="105">
        <f>'Справка 6'!F42</f>
        <v>14335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45107</v>
      </c>
      <c r="D551" s="105" t="s">
        <v>523</v>
      </c>
      <c r="E551" s="478">
        <v>4</v>
      </c>
      <c r="F551" s="105" t="s">
        <v>522</v>
      </c>
      <c r="H551" s="105">
        <f>'Справка 6'!G11</f>
        <v>14503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45107</v>
      </c>
      <c r="D552" s="105" t="s">
        <v>526</v>
      </c>
      <c r="E552" s="478">
        <v>4</v>
      </c>
      <c r="F552" s="105" t="s">
        <v>525</v>
      </c>
      <c r="H552" s="105">
        <f>'Справка 6'!G12</f>
        <v>15060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45107</v>
      </c>
      <c r="D553" s="105" t="s">
        <v>529</v>
      </c>
      <c r="E553" s="478">
        <v>4</v>
      </c>
      <c r="F553" s="105" t="s">
        <v>528</v>
      </c>
      <c r="H553" s="105">
        <f>'Справка 6'!G13</f>
        <v>5172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45107</v>
      </c>
      <c r="D554" s="105" t="s">
        <v>532</v>
      </c>
      <c r="E554" s="478">
        <v>4</v>
      </c>
      <c r="F554" s="105" t="s">
        <v>531</v>
      </c>
      <c r="H554" s="105">
        <f>'Справка 6'!G14</f>
        <v>15690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45107</v>
      </c>
      <c r="D555" s="105" t="s">
        <v>535</v>
      </c>
      <c r="E555" s="478">
        <v>4</v>
      </c>
      <c r="F555" s="105" t="s">
        <v>534</v>
      </c>
      <c r="H555" s="105">
        <f>'Справка 6'!G15</f>
        <v>13684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45107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45107</v>
      </c>
      <c r="D557" s="105" t="s">
        <v>540</v>
      </c>
      <c r="E557" s="478">
        <v>4</v>
      </c>
      <c r="F557" s="105" t="s">
        <v>539</v>
      </c>
      <c r="H557" s="105">
        <f>'Справка 6'!G17</f>
        <v>1027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45107</v>
      </c>
      <c r="D558" s="105" t="s">
        <v>543</v>
      </c>
      <c r="E558" s="478">
        <v>4</v>
      </c>
      <c r="F558" s="105" t="s">
        <v>542</v>
      </c>
      <c r="H558" s="105">
        <f>'Справка 6'!G18</f>
        <v>3212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45107</v>
      </c>
      <c r="D559" s="105" t="s">
        <v>545</v>
      </c>
      <c r="E559" s="478">
        <v>4</v>
      </c>
      <c r="F559" s="105" t="s">
        <v>828</v>
      </c>
      <c r="H559" s="105">
        <f>'Справка 6'!G19</f>
        <v>68348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45107</v>
      </c>
      <c r="D560" s="105" t="s">
        <v>547</v>
      </c>
      <c r="E560" s="478">
        <v>4</v>
      </c>
      <c r="F560" s="105" t="s">
        <v>546</v>
      </c>
      <c r="H560" s="105">
        <f>'Справка 6'!G20</f>
        <v>27245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45107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45107</v>
      </c>
      <c r="D562" s="105" t="s">
        <v>553</v>
      </c>
      <c r="E562" s="478">
        <v>4</v>
      </c>
      <c r="F562" s="105" t="s">
        <v>552</v>
      </c>
      <c r="H562" s="105">
        <f>'Справка 6'!G23</f>
        <v>5037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45107</v>
      </c>
      <c r="D563" s="105" t="s">
        <v>555</v>
      </c>
      <c r="E563" s="478">
        <v>4</v>
      </c>
      <c r="F563" s="105" t="s">
        <v>554</v>
      </c>
      <c r="H563" s="105">
        <f>'Справка 6'!G24</f>
        <v>1325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45107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45107</v>
      </c>
      <c r="D565" s="105" t="s">
        <v>558</v>
      </c>
      <c r="E565" s="478">
        <v>4</v>
      </c>
      <c r="F565" s="105" t="s">
        <v>542</v>
      </c>
      <c r="H565" s="105">
        <f>'Справка 6'!G26</f>
        <v>188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45107</v>
      </c>
      <c r="D566" s="105" t="s">
        <v>560</v>
      </c>
      <c r="E566" s="478">
        <v>4</v>
      </c>
      <c r="F566" s="105" t="s">
        <v>863</v>
      </c>
      <c r="H566" s="105">
        <f>'Справка 6'!G27</f>
        <v>6550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45107</v>
      </c>
      <c r="D567" s="105" t="s">
        <v>562</v>
      </c>
      <c r="E567" s="478">
        <v>4</v>
      </c>
      <c r="F567" s="105" t="s">
        <v>561</v>
      </c>
      <c r="H567" s="105">
        <f>'Справка 6'!G29</f>
        <v>2510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45107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45107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45107</v>
      </c>
      <c r="D570" s="105" t="s">
        <v>565</v>
      </c>
      <c r="E570" s="478">
        <v>4</v>
      </c>
      <c r="F570" s="105" t="s">
        <v>113</v>
      </c>
      <c r="H570" s="105">
        <f>'Справка 6'!G32</f>
        <v>2510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45107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45107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45107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45107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45107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45107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45107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45107</v>
      </c>
      <c r="D578" s="105" t="s">
        <v>578</v>
      </c>
      <c r="E578" s="478">
        <v>4</v>
      </c>
      <c r="F578" s="105" t="s">
        <v>827</v>
      </c>
      <c r="H578" s="105">
        <f>'Справка 6'!G40</f>
        <v>2510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45107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45107</v>
      </c>
      <c r="D580" s="105" t="s">
        <v>583</v>
      </c>
      <c r="E580" s="478">
        <v>4</v>
      </c>
      <c r="F580" s="105" t="s">
        <v>582</v>
      </c>
      <c r="H580" s="105">
        <f>'Справка 6'!G42</f>
        <v>104653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45107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45107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45107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45107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45107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45107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45107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45107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45107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45107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45107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45107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45107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45107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45107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45107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45107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45107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45107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45107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45107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45107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45107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45107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45107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45107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45107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45107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45107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45107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45107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45107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45107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45107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45107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45107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45107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45107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45107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45107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45107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45107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45107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45107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45107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45107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45107</v>
      </c>
      <c r="D627" s="105" t="s">
        <v>562</v>
      </c>
      <c r="E627" s="478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45107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45107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45107</v>
      </c>
      <c r="D630" s="105" t="s">
        <v>565</v>
      </c>
      <c r="E630" s="478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45107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45107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45107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45107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45107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45107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45107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45107</v>
      </c>
      <c r="D638" s="105" t="s">
        <v>578</v>
      </c>
      <c r="E638" s="478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45107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45107</v>
      </c>
      <c r="D640" s="105" t="s">
        <v>583</v>
      </c>
      <c r="E640" s="478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45107</v>
      </c>
      <c r="D641" s="105" t="s">
        <v>523</v>
      </c>
      <c r="E641" s="478">
        <v>7</v>
      </c>
      <c r="F641" s="105" t="s">
        <v>522</v>
      </c>
      <c r="H641" s="105">
        <f>'Справка 6'!J11</f>
        <v>14503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45107</v>
      </c>
      <c r="D642" s="105" t="s">
        <v>526</v>
      </c>
      <c r="E642" s="478">
        <v>7</v>
      </c>
      <c r="F642" s="105" t="s">
        <v>525</v>
      </c>
      <c r="H642" s="105">
        <f>'Справка 6'!J12</f>
        <v>15060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45107</v>
      </c>
      <c r="D643" s="105" t="s">
        <v>529</v>
      </c>
      <c r="E643" s="478">
        <v>7</v>
      </c>
      <c r="F643" s="105" t="s">
        <v>528</v>
      </c>
      <c r="H643" s="105">
        <f>'Справка 6'!J13</f>
        <v>5172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45107</v>
      </c>
      <c r="D644" s="105" t="s">
        <v>532</v>
      </c>
      <c r="E644" s="478">
        <v>7</v>
      </c>
      <c r="F644" s="105" t="s">
        <v>531</v>
      </c>
      <c r="H644" s="105">
        <f>'Справка 6'!J14</f>
        <v>15690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45107</v>
      </c>
      <c r="D645" s="105" t="s">
        <v>535</v>
      </c>
      <c r="E645" s="478">
        <v>7</v>
      </c>
      <c r="F645" s="105" t="s">
        <v>534</v>
      </c>
      <c r="H645" s="105">
        <f>'Справка 6'!J15</f>
        <v>13684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45107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45107</v>
      </c>
      <c r="D647" s="105" t="s">
        <v>540</v>
      </c>
      <c r="E647" s="478">
        <v>7</v>
      </c>
      <c r="F647" s="105" t="s">
        <v>539</v>
      </c>
      <c r="H647" s="105">
        <f>'Справка 6'!J17</f>
        <v>1027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45107</v>
      </c>
      <c r="D648" s="105" t="s">
        <v>543</v>
      </c>
      <c r="E648" s="478">
        <v>7</v>
      </c>
      <c r="F648" s="105" t="s">
        <v>542</v>
      </c>
      <c r="H648" s="105">
        <f>'Справка 6'!J18</f>
        <v>3212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45107</v>
      </c>
      <c r="D649" s="105" t="s">
        <v>545</v>
      </c>
      <c r="E649" s="478">
        <v>7</v>
      </c>
      <c r="F649" s="105" t="s">
        <v>828</v>
      </c>
      <c r="H649" s="105">
        <f>'Справка 6'!J19</f>
        <v>68348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45107</v>
      </c>
      <c r="D650" s="105" t="s">
        <v>547</v>
      </c>
      <c r="E650" s="478">
        <v>7</v>
      </c>
      <c r="F650" s="105" t="s">
        <v>546</v>
      </c>
      <c r="H650" s="105">
        <f>'Справка 6'!J20</f>
        <v>27245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45107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45107</v>
      </c>
      <c r="D652" s="105" t="s">
        <v>553</v>
      </c>
      <c r="E652" s="478">
        <v>7</v>
      </c>
      <c r="F652" s="105" t="s">
        <v>552</v>
      </c>
      <c r="H652" s="105">
        <f>'Справка 6'!J23</f>
        <v>5037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45107</v>
      </c>
      <c r="D653" s="105" t="s">
        <v>555</v>
      </c>
      <c r="E653" s="478">
        <v>7</v>
      </c>
      <c r="F653" s="105" t="s">
        <v>554</v>
      </c>
      <c r="H653" s="105">
        <f>'Справка 6'!J24</f>
        <v>1325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45107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45107</v>
      </c>
      <c r="D655" s="105" t="s">
        <v>558</v>
      </c>
      <c r="E655" s="478">
        <v>7</v>
      </c>
      <c r="F655" s="105" t="s">
        <v>542</v>
      </c>
      <c r="H655" s="105">
        <f>'Справка 6'!J26</f>
        <v>188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45107</v>
      </c>
      <c r="D656" s="105" t="s">
        <v>560</v>
      </c>
      <c r="E656" s="478">
        <v>7</v>
      </c>
      <c r="F656" s="105" t="s">
        <v>863</v>
      </c>
      <c r="H656" s="105">
        <f>'Справка 6'!J27</f>
        <v>6550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45107</v>
      </c>
      <c r="D657" s="105" t="s">
        <v>562</v>
      </c>
      <c r="E657" s="478">
        <v>7</v>
      </c>
      <c r="F657" s="105" t="s">
        <v>561</v>
      </c>
      <c r="H657" s="105">
        <f>'Справка 6'!J29</f>
        <v>2510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45107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45107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45107</v>
      </c>
      <c r="D660" s="105" t="s">
        <v>565</v>
      </c>
      <c r="E660" s="478">
        <v>7</v>
      </c>
      <c r="F660" s="105" t="s">
        <v>113</v>
      </c>
      <c r="H660" s="105">
        <f>'Справка 6'!J32</f>
        <v>2510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45107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45107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45107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45107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45107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45107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45107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45107</v>
      </c>
      <c r="D668" s="105" t="s">
        <v>578</v>
      </c>
      <c r="E668" s="478">
        <v>7</v>
      </c>
      <c r="F668" s="105" t="s">
        <v>827</v>
      </c>
      <c r="H668" s="105">
        <f>'Справка 6'!J40</f>
        <v>2510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45107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45107</v>
      </c>
      <c r="D670" s="105" t="s">
        <v>583</v>
      </c>
      <c r="E670" s="478">
        <v>7</v>
      </c>
      <c r="F670" s="105" t="s">
        <v>582</v>
      </c>
      <c r="H670" s="105">
        <f>'Справка 6'!J42</f>
        <v>104653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45107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45107</v>
      </c>
      <c r="D672" s="105" t="s">
        <v>526</v>
      </c>
      <c r="E672" s="478">
        <v>8</v>
      </c>
      <c r="F672" s="105" t="s">
        <v>525</v>
      </c>
      <c r="H672" s="105">
        <f>'Справка 6'!K12</f>
        <v>9522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45107</v>
      </c>
      <c r="D673" s="105" t="s">
        <v>529</v>
      </c>
      <c r="E673" s="478">
        <v>8</v>
      </c>
      <c r="F673" s="105" t="s">
        <v>528</v>
      </c>
      <c r="H673" s="105">
        <f>'Справка 6'!K13</f>
        <v>4738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45107</v>
      </c>
      <c r="D674" s="105" t="s">
        <v>532</v>
      </c>
      <c r="E674" s="478">
        <v>8</v>
      </c>
      <c r="F674" s="105" t="s">
        <v>531</v>
      </c>
      <c r="H674" s="105">
        <f>'Справка 6'!K14</f>
        <v>11235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45107</v>
      </c>
      <c r="D675" s="105" t="s">
        <v>535</v>
      </c>
      <c r="E675" s="478">
        <v>8</v>
      </c>
      <c r="F675" s="105" t="s">
        <v>534</v>
      </c>
      <c r="H675" s="105">
        <f>'Справка 6'!K15</f>
        <v>12557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45107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45107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45107</v>
      </c>
      <c r="D678" s="105" t="s">
        <v>543</v>
      </c>
      <c r="E678" s="478">
        <v>8</v>
      </c>
      <c r="F678" s="105" t="s">
        <v>542</v>
      </c>
      <c r="H678" s="105">
        <f>'Справка 6'!K18</f>
        <v>2717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45107</v>
      </c>
      <c r="D679" s="105" t="s">
        <v>545</v>
      </c>
      <c r="E679" s="478">
        <v>8</v>
      </c>
      <c r="F679" s="105" t="s">
        <v>828</v>
      </c>
      <c r="H679" s="105">
        <f>'Справка 6'!K19</f>
        <v>40769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45107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45107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45107</v>
      </c>
      <c r="D682" s="105" t="s">
        <v>553</v>
      </c>
      <c r="E682" s="478">
        <v>8</v>
      </c>
      <c r="F682" s="105" t="s">
        <v>552</v>
      </c>
      <c r="H682" s="105">
        <f>'Справка 6'!K23</f>
        <v>6182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45107</v>
      </c>
      <c r="D683" s="105" t="s">
        <v>555</v>
      </c>
      <c r="E683" s="478">
        <v>8</v>
      </c>
      <c r="F683" s="105" t="s">
        <v>554</v>
      </c>
      <c r="H683" s="105">
        <f>'Справка 6'!K24</f>
        <v>1342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45107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45107</v>
      </c>
      <c r="D685" s="105" t="s">
        <v>558</v>
      </c>
      <c r="E685" s="478">
        <v>8</v>
      </c>
      <c r="F685" s="105" t="s">
        <v>542</v>
      </c>
      <c r="H685" s="105">
        <f>'Справка 6'!K26</f>
        <v>51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45107</v>
      </c>
      <c r="D686" s="105" t="s">
        <v>560</v>
      </c>
      <c r="E686" s="478">
        <v>8</v>
      </c>
      <c r="F686" s="105" t="s">
        <v>863</v>
      </c>
      <c r="H686" s="105">
        <f>'Справка 6'!K27</f>
        <v>7575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45107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45107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45107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45107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45107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45107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45107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45107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45107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45107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45107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45107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45107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45107</v>
      </c>
      <c r="D700" s="105" t="s">
        <v>583</v>
      </c>
      <c r="E700" s="478">
        <v>8</v>
      </c>
      <c r="F700" s="105" t="s">
        <v>582</v>
      </c>
      <c r="H700" s="105">
        <f>'Справка 6'!K42</f>
        <v>48344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45107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45107</v>
      </c>
      <c r="D702" s="105" t="s">
        <v>526</v>
      </c>
      <c r="E702" s="478">
        <v>9</v>
      </c>
      <c r="F702" s="105" t="s">
        <v>525</v>
      </c>
      <c r="H702" s="105">
        <f>'Справка 6'!L12</f>
        <v>225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45107</v>
      </c>
      <c r="D703" s="105" t="s">
        <v>529</v>
      </c>
      <c r="E703" s="478">
        <v>9</v>
      </c>
      <c r="F703" s="105" t="s">
        <v>528</v>
      </c>
      <c r="H703" s="105">
        <f>'Справка 6'!L13</f>
        <v>121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45107</v>
      </c>
      <c r="D704" s="105" t="s">
        <v>532</v>
      </c>
      <c r="E704" s="478">
        <v>9</v>
      </c>
      <c r="F704" s="105" t="s">
        <v>531</v>
      </c>
      <c r="H704" s="105">
        <f>'Справка 6'!L14</f>
        <v>216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45107</v>
      </c>
      <c r="D705" s="105" t="s">
        <v>535</v>
      </c>
      <c r="E705" s="478">
        <v>9</v>
      </c>
      <c r="F705" s="105" t="s">
        <v>534</v>
      </c>
      <c r="H705" s="105">
        <f>'Справка 6'!L15</f>
        <v>222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45107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45107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45107</v>
      </c>
      <c r="D708" s="105" t="s">
        <v>543</v>
      </c>
      <c r="E708" s="478">
        <v>9</v>
      </c>
      <c r="F708" s="105" t="s">
        <v>542</v>
      </c>
      <c r="H708" s="105">
        <f>'Справка 6'!L18</f>
        <v>138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45107</v>
      </c>
      <c r="D709" s="105" t="s">
        <v>545</v>
      </c>
      <c r="E709" s="478">
        <v>9</v>
      </c>
      <c r="F709" s="105" t="s">
        <v>828</v>
      </c>
      <c r="H709" s="105">
        <f>'Справка 6'!L19</f>
        <v>922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45107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45107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45107</v>
      </c>
      <c r="D712" s="105" t="s">
        <v>553</v>
      </c>
      <c r="E712" s="478">
        <v>9</v>
      </c>
      <c r="F712" s="105" t="s">
        <v>552</v>
      </c>
      <c r="H712" s="105">
        <f>'Справка 6'!L23</f>
        <v>617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45107</v>
      </c>
      <c r="D713" s="105" t="s">
        <v>555</v>
      </c>
      <c r="E713" s="478">
        <v>9</v>
      </c>
      <c r="F713" s="105" t="s">
        <v>554</v>
      </c>
      <c r="H713" s="105">
        <f>'Справка 6'!L24</f>
        <v>12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45107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45107</v>
      </c>
      <c r="D715" s="105" t="s">
        <v>558</v>
      </c>
      <c r="E715" s="478">
        <v>9</v>
      </c>
      <c r="F715" s="105" t="s">
        <v>542</v>
      </c>
      <c r="H715" s="105">
        <f>'Справка 6'!L26</f>
        <v>23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45107</v>
      </c>
      <c r="D716" s="105" t="s">
        <v>560</v>
      </c>
      <c r="E716" s="478">
        <v>9</v>
      </c>
      <c r="F716" s="105" t="s">
        <v>863</v>
      </c>
      <c r="H716" s="105">
        <f>'Справка 6'!L27</f>
        <v>652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45107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45107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45107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45107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45107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45107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45107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45107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45107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45107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45107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45107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45107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45107</v>
      </c>
      <c r="D730" s="105" t="s">
        <v>583</v>
      </c>
      <c r="E730" s="478">
        <v>9</v>
      </c>
      <c r="F730" s="105" t="s">
        <v>582</v>
      </c>
      <c r="H730" s="105">
        <f>'Справка 6'!L42</f>
        <v>1574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45107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45107</v>
      </c>
      <c r="D732" s="105" t="s">
        <v>526</v>
      </c>
      <c r="E732" s="478">
        <v>10</v>
      </c>
      <c r="F732" s="105" t="s">
        <v>525</v>
      </c>
      <c r="H732" s="105">
        <f>'Справка 6'!M12</f>
        <v>37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45107</v>
      </c>
      <c r="D733" s="105" t="s">
        <v>529</v>
      </c>
      <c r="E733" s="478">
        <v>10</v>
      </c>
      <c r="F733" s="105" t="s">
        <v>528</v>
      </c>
      <c r="H733" s="105">
        <f>'Справка 6'!M13</f>
        <v>315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45107</v>
      </c>
      <c r="D734" s="105" t="s">
        <v>532</v>
      </c>
      <c r="E734" s="478">
        <v>10</v>
      </c>
      <c r="F734" s="105" t="s">
        <v>531</v>
      </c>
      <c r="H734" s="105">
        <f>'Справка 6'!M14</f>
        <v>868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45107</v>
      </c>
      <c r="D735" s="105" t="s">
        <v>535</v>
      </c>
      <c r="E735" s="478">
        <v>10</v>
      </c>
      <c r="F735" s="105" t="s">
        <v>534</v>
      </c>
      <c r="H735" s="105">
        <f>'Справка 6'!M15</f>
        <v>420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45107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45107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45107</v>
      </c>
      <c r="D738" s="105" t="s">
        <v>543</v>
      </c>
      <c r="E738" s="478">
        <v>10</v>
      </c>
      <c r="F738" s="105" t="s">
        <v>542</v>
      </c>
      <c r="H738" s="105">
        <f>'Справка 6'!M18</f>
        <v>47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45107</v>
      </c>
      <c r="D739" s="105" t="s">
        <v>545</v>
      </c>
      <c r="E739" s="478">
        <v>10</v>
      </c>
      <c r="F739" s="105" t="s">
        <v>828</v>
      </c>
      <c r="H739" s="105">
        <f>'Справка 6'!M19</f>
        <v>1687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45107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45107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45107</v>
      </c>
      <c r="D742" s="105" t="s">
        <v>553</v>
      </c>
      <c r="E742" s="478">
        <v>10</v>
      </c>
      <c r="F742" s="105" t="s">
        <v>552</v>
      </c>
      <c r="H742" s="105">
        <f>'Справка 6'!M23</f>
        <v>4874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45107</v>
      </c>
      <c r="D743" s="105" t="s">
        <v>555</v>
      </c>
      <c r="E743" s="478">
        <v>10</v>
      </c>
      <c r="F743" s="105" t="s">
        <v>554</v>
      </c>
      <c r="H743" s="105">
        <f>'Справка 6'!M24</f>
        <v>36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45107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45107</v>
      </c>
      <c r="D745" s="105" t="s">
        <v>558</v>
      </c>
      <c r="E745" s="478">
        <v>10</v>
      </c>
      <c r="F745" s="105" t="s">
        <v>542</v>
      </c>
      <c r="H745" s="105">
        <f>'Справка 6'!M26</f>
        <v>41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45107</v>
      </c>
      <c r="D746" s="105" t="s">
        <v>560</v>
      </c>
      <c r="E746" s="478">
        <v>10</v>
      </c>
      <c r="F746" s="105" t="s">
        <v>863</v>
      </c>
      <c r="H746" s="105">
        <f>'Справка 6'!M27</f>
        <v>4951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45107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45107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45107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45107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45107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45107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45107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45107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45107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45107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45107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45107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45107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45107</v>
      </c>
      <c r="D760" s="105" t="s">
        <v>583</v>
      </c>
      <c r="E760" s="478">
        <v>10</v>
      </c>
      <c r="F760" s="105" t="s">
        <v>582</v>
      </c>
      <c r="H760" s="105">
        <f>'Справка 6'!M42</f>
        <v>6638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45107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45107</v>
      </c>
      <c r="D762" s="105" t="s">
        <v>526</v>
      </c>
      <c r="E762" s="478">
        <v>11</v>
      </c>
      <c r="F762" s="105" t="s">
        <v>525</v>
      </c>
      <c r="H762" s="105">
        <f>'Справка 6'!N12</f>
        <v>9710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45107</v>
      </c>
      <c r="D763" s="105" t="s">
        <v>529</v>
      </c>
      <c r="E763" s="478">
        <v>11</v>
      </c>
      <c r="F763" s="105" t="s">
        <v>528</v>
      </c>
      <c r="H763" s="105">
        <f>'Справка 6'!N13</f>
        <v>4544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45107</v>
      </c>
      <c r="D764" s="105" t="s">
        <v>532</v>
      </c>
      <c r="E764" s="478">
        <v>11</v>
      </c>
      <c r="F764" s="105" t="s">
        <v>531</v>
      </c>
      <c r="H764" s="105">
        <f>'Справка 6'!N14</f>
        <v>10583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45107</v>
      </c>
      <c r="D765" s="105" t="s">
        <v>535</v>
      </c>
      <c r="E765" s="478">
        <v>11</v>
      </c>
      <c r="F765" s="105" t="s">
        <v>534</v>
      </c>
      <c r="H765" s="105">
        <f>'Справка 6'!N15</f>
        <v>12359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45107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45107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45107</v>
      </c>
      <c r="D768" s="105" t="s">
        <v>543</v>
      </c>
      <c r="E768" s="478">
        <v>11</v>
      </c>
      <c r="F768" s="105" t="s">
        <v>542</v>
      </c>
      <c r="H768" s="105">
        <f>'Справка 6'!N18</f>
        <v>2808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45107</v>
      </c>
      <c r="D769" s="105" t="s">
        <v>545</v>
      </c>
      <c r="E769" s="478">
        <v>11</v>
      </c>
      <c r="F769" s="105" t="s">
        <v>828</v>
      </c>
      <c r="H769" s="105">
        <f>'Справка 6'!N19</f>
        <v>40004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45107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45107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45107</v>
      </c>
      <c r="D772" s="105" t="s">
        <v>553</v>
      </c>
      <c r="E772" s="478">
        <v>11</v>
      </c>
      <c r="F772" s="105" t="s">
        <v>552</v>
      </c>
      <c r="H772" s="105">
        <f>'Справка 6'!N23</f>
        <v>1925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45107</v>
      </c>
      <c r="D773" s="105" t="s">
        <v>555</v>
      </c>
      <c r="E773" s="478">
        <v>11</v>
      </c>
      <c r="F773" s="105" t="s">
        <v>554</v>
      </c>
      <c r="H773" s="105">
        <f>'Справка 6'!N24</f>
        <v>1318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45107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45107</v>
      </c>
      <c r="D775" s="105" t="s">
        <v>558</v>
      </c>
      <c r="E775" s="478">
        <v>11</v>
      </c>
      <c r="F775" s="105" t="s">
        <v>542</v>
      </c>
      <c r="H775" s="105">
        <f>'Справка 6'!N26</f>
        <v>33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45107</v>
      </c>
      <c r="D776" s="105" t="s">
        <v>560</v>
      </c>
      <c r="E776" s="478">
        <v>11</v>
      </c>
      <c r="F776" s="105" t="s">
        <v>863</v>
      </c>
      <c r="H776" s="105">
        <f>'Справка 6'!N27</f>
        <v>3276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45107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45107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45107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45107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45107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45107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45107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45107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45107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45107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45107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45107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45107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45107</v>
      </c>
      <c r="D790" s="105" t="s">
        <v>583</v>
      </c>
      <c r="E790" s="478">
        <v>11</v>
      </c>
      <c r="F790" s="105" t="s">
        <v>582</v>
      </c>
      <c r="H790" s="105">
        <f>'Справка 6'!N42</f>
        <v>43280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45107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45107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45107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45107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45107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45107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45107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45107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45107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45107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45107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45107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45107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45107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45107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45107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45107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45107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45107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45107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45107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45107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45107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45107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45107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45107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45107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45107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45107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45107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45107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45107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45107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45107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45107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45107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45107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45107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45107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45107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45107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45107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45107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45107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45107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45107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45107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45107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45107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45107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45107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45107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45107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45107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45107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45107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45107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45107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45107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45107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45107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45107</v>
      </c>
      <c r="D852" s="105" t="s">
        <v>526</v>
      </c>
      <c r="E852" s="478">
        <v>14</v>
      </c>
      <c r="F852" s="105" t="s">
        <v>525</v>
      </c>
      <c r="H852" s="105">
        <f>'Справка 6'!Q12</f>
        <v>9710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45107</v>
      </c>
      <c r="D853" s="105" t="s">
        <v>529</v>
      </c>
      <c r="E853" s="478">
        <v>14</v>
      </c>
      <c r="F853" s="105" t="s">
        <v>528</v>
      </c>
      <c r="H853" s="105">
        <f>'Справка 6'!Q13</f>
        <v>4544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45107</v>
      </c>
      <c r="D854" s="105" t="s">
        <v>532</v>
      </c>
      <c r="E854" s="478">
        <v>14</v>
      </c>
      <c r="F854" s="105" t="s">
        <v>531</v>
      </c>
      <c r="H854" s="105">
        <f>'Справка 6'!Q14</f>
        <v>10583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45107</v>
      </c>
      <c r="D855" s="105" t="s">
        <v>535</v>
      </c>
      <c r="E855" s="478">
        <v>14</v>
      </c>
      <c r="F855" s="105" t="s">
        <v>534</v>
      </c>
      <c r="H855" s="105">
        <f>'Справка 6'!Q15</f>
        <v>12359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45107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45107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45107</v>
      </c>
      <c r="D858" s="105" t="s">
        <v>543</v>
      </c>
      <c r="E858" s="478">
        <v>14</v>
      </c>
      <c r="F858" s="105" t="s">
        <v>542</v>
      </c>
      <c r="H858" s="105">
        <f>'Справка 6'!Q18</f>
        <v>2808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45107</v>
      </c>
      <c r="D859" s="105" t="s">
        <v>545</v>
      </c>
      <c r="E859" s="478">
        <v>14</v>
      </c>
      <c r="F859" s="105" t="s">
        <v>828</v>
      </c>
      <c r="H859" s="105">
        <f>'Справка 6'!Q19</f>
        <v>40004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45107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45107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45107</v>
      </c>
      <c r="D862" s="105" t="s">
        <v>553</v>
      </c>
      <c r="E862" s="478">
        <v>14</v>
      </c>
      <c r="F862" s="105" t="s">
        <v>552</v>
      </c>
      <c r="H862" s="105">
        <f>'Справка 6'!Q23</f>
        <v>1925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45107</v>
      </c>
      <c r="D863" s="105" t="s">
        <v>555</v>
      </c>
      <c r="E863" s="478">
        <v>14</v>
      </c>
      <c r="F863" s="105" t="s">
        <v>554</v>
      </c>
      <c r="H863" s="105">
        <f>'Справка 6'!Q24</f>
        <v>1318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45107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45107</v>
      </c>
      <c r="D865" s="105" t="s">
        <v>558</v>
      </c>
      <c r="E865" s="478">
        <v>14</v>
      </c>
      <c r="F865" s="105" t="s">
        <v>542</v>
      </c>
      <c r="H865" s="105">
        <f>'Справка 6'!Q26</f>
        <v>33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45107</v>
      </c>
      <c r="D866" s="105" t="s">
        <v>560</v>
      </c>
      <c r="E866" s="478">
        <v>14</v>
      </c>
      <c r="F866" s="105" t="s">
        <v>863</v>
      </c>
      <c r="H866" s="105">
        <f>'Справка 6'!Q27</f>
        <v>3276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45107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45107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45107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45107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45107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45107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45107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45107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45107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45107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45107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45107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45107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45107</v>
      </c>
      <c r="D880" s="105" t="s">
        <v>583</v>
      </c>
      <c r="E880" s="478">
        <v>14</v>
      </c>
      <c r="F880" s="105" t="s">
        <v>582</v>
      </c>
      <c r="H880" s="105">
        <f>'Справка 6'!Q42</f>
        <v>43280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45107</v>
      </c>
      <c r="D881" s="105" t="s">
        <v>523</v>
      </c>
      <c r="E881" s="478">
        <v>15</v>
      </c>
      <c r="F881" s="105" t="s">
        <v>522</v>
      </c>
      <c r="H881" s="105">
        <f>'Справка 6'!R11</f>
        <v>14503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45107</v>
      </c>
      <c r="D882" s="105" t="s">
        <v>526</v>
      </c>
      <c r="E882" s="478">
        <v>15</v>
      </c>
      <c r="F882" s="105" t="s">
        <v>525</v>
      </c>
      <c r="H882" s="105">
        <f>'Справка 6'!R12</f>
        <v>5350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45107</v>
      </c>
      <c r="D883" s="105" t="s">
        <v>529</v>
      </c>
      <c r="E883" s="478">
        <v>15</v>
      </c>
      <c r="F883" s="105" t="s">
        <v>528</v>
      </c>
      <c r="H883" s="105">
        <f>'Справка 6'!R13</f>
        <v>628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45107</v>
      </c>
      <c r="D884" s="105" t="s">
        <v>532</v>
      </c>
      <c r="E884" s="478">
        <v>15</v>
      </c>
      <c r="F884" s="105" t="s">
        <v>531</v>
      </c>
      <c r="H884" s="105">
        <f>'Справка 6'!R14</f>
        <v>5107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45107</v>
      </c>
      <c r="D885" s="105" t="s">
        <v>535</v>
      </c>
      <c r="E885" s="478">
        <v>15</v>
      </c>
      <c r="F885" s="105" t="s">
        <v>534</v>
      </c>
      <c r="H885" s="105">
        <f>'Справка 6'!R15</f>
        <v>1325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45107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45107</v>
      </c>
      <c r="D887" s="105" t="s">
        <v>540</v>
      </c>
      <c r="E887" s="478">
        <v>15</v>
      </c>
      <c r="F887" s="105" t="s">
        <v>539</v>
      </c>
      <c r="H887" s="105">
        <f>'Справка 6'!R17</f>
        <v>1027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45107</v>
      </c>
      <c r="D888" s="105" t="s">
        <v>543</v>
      </c>
      <c r="E888" s="478">
        <v>15</v>
      </c>
      <c r="F888" s="105" t="s">
        <v>542</v>
      </c>
      <c r="H888" s="105">
        <f>'Справка 6'!R18</f>
        <v>404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45107</v>
      </c>
      <c r="D889" s="105" t="s">
        <v>545</v>
      </c>
      <c r="E889" s="478">
        <v>15</v>
      </c>
      <c r="F889" s="105" t="s">
        <v>828</v>
      </c>
      <c r="H889" s="105">
        <f>'Справка 6'!R19</f>
        <v>28344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45107</v>
      </c>
      <c r="D890" s="105" t="s">
        <v>547</v>
      </c>
      <c r="E890" s="478">
        <v>15</v>
      </c>
      <c r="F890" s="105" t="s">
        <v>546</v>
      </c>
      <c r="H890" s="105">
        <f>'Справка 6'!R20</f>
        <v>27245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45107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45107</v>
      </c>
      <c r="D892" s="105" t="s">
        <v>553</v>
      </c>
      <c r="E892" s="478">
        <v>15</v>
      </c>
      <c r="F892" s="105" t="s">
        <v>552</v>
      </c>
      <c r="H892" s="105">
        <f>'Справка 6'!R23</f>
        <v>3112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45107</v>
      </c>
      <c r="D893" s="105" t="s">
        <v>555</v>
      </c>
      <c r="E893" s="478">
        <v>15</v>
      </c>
      <c r="F893" s="105" t="s">
        <v>554</v>
      </c>
      <c r="H893" s="105">
        <f>'Справка 6'!R24</f>
        <v>7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45107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45107</v>
      </c>
      <c r="D895" s="105" t="s">
        <v>558</v>
      </c>
      <c r="E895" s="478">
        <v>15</v>
      </c>
      <c r="F895" s="105" t="s">
        <v>542</v>
      </c>
      <c r="H895" s="105">
        <f>'Справка 6'!R26</f>
        <v>155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45107</v>
      </c>
      <c r="D896" s="105" t="s">
        <v>560</v>
      </c>
      <c r="E896" s="478">
        <v>15</v>
      </c>
      <c r="F896" s="105" t="s">
        <v>863</v>
      </c>
      <c r="H896" s="105">
        <f>'Справка 6'!R27</f>
        <v>3274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45107</v>
      </c>
      <c r="D897" s="105" t="s">
        <v>562</v>
      </c>
      <c r="E897" s="478">
        <v>15</v>
      </c>
      <c r="F897" s="105" t="s">
        <v>561</v>
      </c>
      <c r="H897" s="105">
        <f>'Справка 6'!R29</f>
        <v>2510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45107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45107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45107</v>
      </c>
      <c r="D900" s="105" t="s">
        <v>565</v>
      </c>
      <c r="E900" s="478">
        <v>15</v>
      </c>
      <c r="F900" s="105" t="s">
        <v>113</v>
      </c>
      <c r="H900" s="105">
        <f>'Справка 6'!R32</f>
        <v>2510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45107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45107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45107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45107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45107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45107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45107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45107</v>
      </c>
      <c r="D908" s="105" t="s">
        <v>578</v>
      </c>
      <c r="E908" s="478">
        <v>15</v>
      </c>
      <c r="F908" s="105" t="s">
        <v>827</v>
      </c>
      <c r="H908" s="105">
        <f>'Справка 6'!R40</f>
        <v>2510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45107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45107</v>
      </c>
      <c r="D910" s="105" t="s">
        <v>583</v>
      </c>
      <c r="E910" s="478">
        <v>15</v>
      </c>
      <c r="F910" s="105" t="s">
        <v>582</v>
      </c>
      <c r="H910" s="105">
        <f>'Справка 6'!R42</f>
        <v>61373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45107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45107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45107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45107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45107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45107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45107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45107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45107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45107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45107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45107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222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45107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45107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222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45107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45107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7397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45107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516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45107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45107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0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45107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0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45107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45107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0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45107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0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45107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45107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45107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495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45107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12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45107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45107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45107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483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45107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8630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45107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8630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45107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45107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45107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45107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45107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45107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45107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45107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45107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45107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45107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45107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222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45107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45107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222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45107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45107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7397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45107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516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45107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45107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0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45107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0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45107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45107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0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45107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0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45107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45107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45107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495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45107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12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45107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45107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45107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483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45107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8630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45107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8630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45107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45107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45107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45107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45107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45107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45107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45107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45107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45107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45107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45107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45107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45107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45107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45107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45107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45107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45107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45107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45107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45107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45107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45107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45107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45107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45107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45107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45107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45107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45107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45107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45107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10647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45107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10647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45107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45107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45107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45107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45107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45107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45107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45107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45107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45107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45107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2126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45107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1848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45107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12773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45107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894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45107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873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45107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873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45107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45107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45107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3694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45107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3694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45107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45107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45107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45107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45107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45107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45107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45107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45107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14947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45107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45107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11218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45107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2188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45107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870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45107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295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45107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45107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79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45107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216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45107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376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45107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200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45107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19714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45107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33381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45107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45107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45107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45107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45107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45107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45107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45107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45107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45107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45107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45107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45107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45107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45107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45107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45107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873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45107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873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45107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45107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45107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3694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45107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3694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45107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45107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45107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45107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45107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45107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45107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45107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45107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14947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45107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45107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11218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45107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2188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45107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870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45107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295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45107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45107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79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45107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216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45107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376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45107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200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45107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19714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45107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19714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45107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10647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45107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10647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45107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45107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45107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45107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45107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45107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45107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45107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45107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45107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45107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2126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45107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1848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45107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12773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45107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894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45107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45107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45107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45107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45107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45107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45107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45107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45107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45107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45107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45107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45107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45107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45107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45107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45107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45107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45107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45107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45107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45107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45107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45107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45107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45107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45107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13667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45107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45107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45107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45107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45107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45107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45107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45107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45107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45107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45107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45107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45107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45107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45107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45107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45107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45107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45107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45107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45107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45107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45107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45107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45107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45107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45107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45107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45107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45107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45107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45107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45107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45107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45107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45107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45107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45107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45107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45107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45107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45107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45107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45107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45107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45107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1307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45107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1307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45107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45107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45107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37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45107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37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45107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45107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45107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45107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45107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45107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45107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1344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45107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1344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45107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45107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45107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45107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45107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45107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45107</v>
      </c>
      <c r="D1204" s="105" t="s">
        <v>774</v>
      </c>
      <c r="E1204" s="105">
        <v>1</v>
      </c>
      <c r="F1204" s="105" t="s">
        <v>773</v>
      </c>
      <c r="H1204" s="480">
        <f>'Справка 8'!C21</f>
        <v>0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45107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45107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45107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45107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45107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45107</v>
      </c>
      <c r="D1210" s="105" t="s">
        <v>786</v>
      </c>
      <c r="E1210" s="105">
        <v>1</v>
      </c>
      <c r="F1210" s="105" t="s">
        <v>771</v>
      </c>
      <c r="H1210" s="480">
        <f>'Справка 8'!C27</f>
        <v>0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45107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45107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45107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45107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45107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45107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45107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45107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45107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45107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45107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45107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45107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45107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45107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45107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45107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45107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45107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45107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45107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45107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45107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45107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45107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45107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45107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45107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45107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45107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45107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45107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45107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45107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45107</v>
      </c>
      <c r="D1246" s="105" t="s">
        <v>774</v>
      </c>
      <c r="E1246" s="105">
        <v>4</v>
      </c>
      <c r="F1246" s="105" t="s">
        <v>773</v>
      </c>
      <c r="H1246" s="480">
        <f>'Справка 8'!F21</f>
        <v>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45107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45107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45107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45107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45107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45107</v>
      </c>
      <c r="D1252" s="105" t="s">
        <v>786</v>
      </c>
      <c r="E1252" s="105">
        <v>4</v>
      </c>
      <c r="F1252" s="105" t="s">
        <v>771</v>
      </c>
      <c r="H1252" s="480">
        <f>'Справка 8'!F27</f>
        <v>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45107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45107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45107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45107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45107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45107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45107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45107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45107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45107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45107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45107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45107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45107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45107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45107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45107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45107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45107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45107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45107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45107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45107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45107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45107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45107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45107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45107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45107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45107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45107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45107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45107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45107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45107</v>
      </c>
      <c r="D1288" s="105" t="s">
        <v>774</v>
      </c>
      <c r="E1288" s="105">
        <v>7</v>
      </c>
      <c r="F1288" s="105" t="s">
        <v>773</v>
      </c>
      <c r="H1288" s="480">
        <f>'Справка 8'!I21</f>
        <v>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45107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45107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45107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45107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45107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45107</v>
      </c>
      <c r="D1294" s="105" t="s">
        <v>786</v>
      </c>
      <c r="E1294" s="105">
        <v>7</v>
      </c>
      <c r="F1294" s="105" t="s">
        <v>771</v>
      </c>
      <c r="H1294" s="480">
        <f>'Справка 8'!I27</f>
        <v>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45107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45107</v>
      </c>
      <c r="D1298" s="105" t="s">
        <v>798</v>
      </c>
      <c r="E1298" s="105">
        <v>1</v>
      </c>
      <c r="F1298" s="105" t="s">
        <v>796</v>
      </c>
      <c r="H1298" s="480">
        <f>'Справка 5'!C61</f>
        <v>2510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45107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45107</v>
      </c>
      <c r="D1300" s="105" t="s">
        <v>802</v>
      </c>
      <c r="E1300" s="105">
        <v>1</v>
      </c>
      <c r="F1300" s="105" t="s">
        <v>791</v>
      </c>
      <c r="H1300" s="480">
        <f>'Справка 5'!C79</f>
        <v>2510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45107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45107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45107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45107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45107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45107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45107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45107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45107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45107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45107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45107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45107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45107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45107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45107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45107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45107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45107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45107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45107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45107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45107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45107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45107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45107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45107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45107</v>
      </c>
      <c r="D1328" s="105" t="s">
        <v>798</v>
      </c>
      <c r="E1328" s="105">
        <v>4</v>
      </c>
      <c r="F1328" s="105" t="s">
        <v>796</v>
      </c>
      <c r="H1328" s="480">
        <f>'Справка 5'!F61</f>
        <v>2510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45107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45107</v>
      </c>
      <c r="D1330" s="105" t="s">
        <v>802</v>
      </c>
      <c r="E1330" s="105">
        <v>4</v>
      </c>
      <c r="F1330" s="105" t="s">
        <v>791</v>
      </c>
      <c r="H1330" s="480">
        <f>'Справка 5'!F79</f>
        <v>2510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45107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45107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45107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45107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45107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SheetLayoutView="85" zoomScalePageLayoutView="0" workbookViewId="0" topLeftCell="A1">
      <selection activeCell="N48" sqref="N4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5" t="s">
        <v>977</v>
      </c>
      <c r="B31" s="698">
        <f>pdeReportingDate</f>
        <v>45131</v>
      </c>
      <c r="C31" s="698"/>
      <c r="D31" s="698"/>
      <c r="E31" s="698"/>
      <c r="F31" s="698"/>
      <c r="G31" s="124"/>
      <c r="H31" s="124"/>
      <c r="I31" s="124"/>
    </row>
    <row r="32" spans="1:9" s="116" customFormat="1" ht="15.75">
      <c r="A32" s="675"/>
      <c r="B32" s="698"/>
      <c r="C32" s="698"/>
      <c r="D32" s="698"/>
      <c r="E32" s="698"/>
      <c r="F32" s="698"/>
      <c r="G32" s="124"/>
      <c r="H32" s="124"/>
      <c r="I32" s="124"/>
    </row>
    <row r="33" spans="1:9" s="116" customFormat="1" ht="15.75">
      <c r="A33" s="676" t="s">
        <v>8</v>
      </c>
      <c r="B33" s="699" t="str">
        <f>authorName</f>
        <v>Людмила Стамова</v>
      </c>
      <c r="C33" s="699"/>
      <c r="D33" s="699"/>
      <c r="E33" s="699"/>
      <c r="F33" s="699"/>
      <c r="G33" s="124"/>
      <c r="H33" s="124"/>
      <c r="I33" s="124"/>
    </row>
    <row r="34" spans="1:9" s="116" customFormat="1" ht="15.75">
      <c r="A34" s="676"/>
      <c r="B34" s="735"/>
      <c r="C34" s="735"/>
      <c r="D34" s="735"/>
      <c r="E34" s="735"/>
      <c r="F34" s="735"/>
      <c r="G34" s="735"/>
      <c r="H34" s="735"/>
      <c r="I34" s="735"/>
    </row>
    <row r="35" spans="1:9" s="116" customFormat="1" ht="15.75">
      <c r="A35" s="676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77"/>
      <c r="B36" s="697" t="s">
        <v>1000</v>
      </c>
      <c r="C36" s="697"/>
      <c r="D36" s="697"/>
      <c r="E36" s="697"/>
      <c r="F36" s="697"/>
      <c r="G36" s="697"/>
      <c r="H36" s="697"/>
      <c r="I36" s="697"/>
    </row>
    <row r="37" spans="1:9" s="116" customFormat="1" ht="15.75" customHeight="1">
      <c r="A37" s="677"/>
      <c r="B37" s="697" t="s">
        <v>979</v>
      </c>
      <c r="C37" s="697"/>
      <c r="D37" s="697"/>
      <c r="E37" s="697"/>
      <c r="F37" s="697"/>
      <c r="G37" s="697"/>
      <c r="H37" s="697"/>
      <c r="I37" s="697"/>
    </row>
    <row r="38" spans="1:9" s="116" customFormat="1" ht="15.75" customHeight="1">
      <c r="A38" s="677"/>
      <c r="B38" s="697" t="s">
        <v>979</v>
      </c>
      <c r="C38" s="697"/>
      <c r="D38" s="697"/>
      <c r="E38" s="697"/>
      <c r="F38" s="697"/>
      <c r="G38" s="697"/>
      <c r="H38" s="697"/>
      <c r="I38" s="697"/>
    </row>
    <row r="39" spans="1:9" s="116" customFormat="1" ht="15.75" customHeight="1">
      <c r="A39" s="677"/>
      <c r="B39" s="697" t="s">
        <v>979</v>
      </c>
      <c r="C39" s="697"/>
      <c r="D39" s="697"/>
      <c r="E39" s="697"/>
      <c r="F39" s="697"/>
      <c r="G39" s="697"/>
      <c r="H39" s="697"/>
      <c r="I39" s="697"/>
    </row>
    <row r="40" spans="1:9" s="116" customFormat="1" ht="15.75">
      <c r="A40" s="677"/>
      <c r="B40" s="697"/>
      <c r="C40" s="697"/>
      <c r="D40" s="697"/>
      <c r="E40" s="697"/>
      <c r="F40" s="697"/>
      <c r="G40" s="697"/>
      <c r="H40" s="697"/>
      <c r="I40" s="697"/>
    </row>
    <row r="41" spans="1:9" s="116" customFormat="1" ht="15.75">
      <c r="A41" s="677"/>
      <c r="B41" s="697"/>
      <c r="C41" s="697"/>
      <c r="D41" s="697"/>
      <c r="E41" s="697"/>
      <c r="F41" s="697"/>
      <c r="G41" s="697"/>
      <c r="H41" s="697"/>
      <c r="I41" s="697"/>
    </row>
    <row r="42" spans="1:9" s="116" customFormat="1" ht="15.75">
      <c r="A42" s="677"/>
      <c r="B42" s="697"/>
      <c r="C42" s="697"/>
      <c r="D42" s="697"/>
      <c r="E42" s="697"/>
      <c r="F42" s="697"/>
      <c r="G42" s="697"/>
      <c r="H42" s="697"/>
      <c r="I42" s="69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6" zoomScaleNormal="86" zoomScalePageLayoutView="0" workbookViewId="0" topLeftCell="A1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f>'Справка 6'!R11</f>
        <v>14503</v>
      </c>
      <c r="D12" s="197">
        <v>14509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5350</v>
      </c>
      <c r="D13" s="197">
        <v>5575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f>'Справка 6'!R13</f>
        <v>628</v>
      </c>
      <c r="D14" s="197">
        <v>721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f>'Справка 6'!R14</f>
        <v>5107</v>
      </c>
      <c r="D15" s="197">
        <v>5472</v>
      </c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f>'Справка 6'!R15</f>
        <v>1325</v>
      </c>
      <c r="D16" s="197">
        <v>2073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f>'Справка 6'!R17</f>
        <v>1027</v>
      </c>
      <c r="D18" s="197">
        <v>458</v>
      </c>
      <c r="E18" s="463" t="s">
        <v>47</v>
      </c>
      <c r="F18" s="462" t="s">
        <v>48</v>
      </c>
      <c r="G18" s="591">
        <f>G12+G15+G16+G17</f>
        <v>5417</v>
      </c>
      <c r="H18" s="592">
        <f>H12+H15+H16+H17</f>
        <v>5417</v>
      </c>
    </row>
    <row r="19" spans="1:8" ht="15.75">
      <c r="A19" s="89" t="s">
        <v>49</v>
      </c>
      <c r="B19" s="91" t="s">
        <v>50</v>
      </c>
      <c r="C19" s="197">
        <f>'Справка 6'!R18</f>
        <v>404</v>
      </c>
      <c r="D19" s="197">
        <v>465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28344</v>
      </c>
      <c r="D20" s="580">
        <f>SUM(D12:D19)</f>
        <v>29273</v>
      </c>
      <c r="E20" s="89" t="s">
        <v>54</v>
      </c>
      <c r="F20" s="93" t="s">
        <v>55</v>
      </c>
      <c r="G20" s="197">
        <v>9539</v>
      </c>
      <c r="H20" s="196">
        <v>9539</v>
      </c>
    </row>
    <row r="21" spans="1:8" ht="15.75">
      <c r="A21" s="100" t="s">
        <v>56</v>
      </c>
      <c r="B21" s="96" t="s">
        <v>57</v>
      </c>
      <c r="C21" s="458">
        <f>'Справка 6'!R20</f>
        <v>27245</v>
      </c>
      <c r="D21" s="458">
        <v>28084</v>
      </c>
      <c r="E21" s="89" t="s">
        <v>58</v>
      </c>
      <c r="F21" s="93" t="s">
        <v>59</v>
      </c>
      <c r="G21" s="197">
        <v>8151</v>
      </c>
      <c r="H21" s="196">
        <v>8183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>
        <f>'Справка 6'!R23</f>
        <v>3112</v>
      </c>
      <c r="D24" s="196">
        <v>3104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7</v>
      </c>
      <c r="D25" s="196">
        <v>27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6"/>
      <c r="E26" s="466" t="s">
        <v>77</v>
      </c>
      <c r="F26" s="95" t="s">
        <v>78</v>
      </c>
      <c r="G26" s="579">
        <f>G20+G21+G22</f>
        <v>42439</v>
      </c>
      <c r="H26" s="580">
        <f>H20+H21+H22</f>
        <v>42471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155</v>
      </c>
      <c r="D27" s="196">
        <v>128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3274</v>
      </c>
      <c r="D28" s="580">
        <f>SUM(D24:D27)</f>
        <v>3259</v>
      </c>
      <c r="E28" s="202" t="s">
        <v>84</v>
      </c>
      <c r="F28" s="93" t="s">
        <v>85</v>
      </c>
      <c r="G28" s="577">
        <f>SUM(G29:G31)</f>
        <v>39589</v>
      </c>
      <c r="H28" s="578">
        <f>SUM(H29:H31)</f>
        <v>44624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39589</v>
      </c>
      <c r="H29" s="196">
        <v>44624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>
        <f>-'2-Отчет за доходите'!G44</f>
        <v>-6438</v>
      </c>
      <c r="H33" s="196">
        <v>-5066.986809999973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33151</v>
      </c>
      <c r="H34" s="580">
        <f>H28+H32+H33</f>
        <v>39557.01319000003</v>
      </c>
    </row>
    <row r="35" spans="1:8" ht="15.75">
      <c r="A35" s="89" t="s">
        <v>106</v>
      </c>
      <c r="B35" s="94" t="s">
        <v>107</v>
      </c>
      <c r="C35" s="577">
        <f>SUM(C36:C39)</f>
        <v>2510</v>
      </c>
      <c r="D35" s="578">
        <f>SUM(D36:D39)</f>
        <v>2510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81007</v>
      </c>
      <c r="H37" s="582">
        <f>H26+H18+H34</f>
        <v>87445.01319000003</v>
      </c>
    </row>
    <row r="38" spans="1:13" ht="15.75">
      <c r="A38" s="89" t="s">
        <v>113</v>
      </c>
      <c r="B38" s="91" t="s">
        <v>114</v>
      </c>
      <c r="C38" s="197">
        <v>2510</v>
      </c>
      <c r="D38" s="197">
        <v>2510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10647</v>
      </c>
      <c r="H44" s="196">
        <v>18150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5" t="s">
        <v>137</v>
      </c>
      <c r="B46" s="96" t="s">
        <v>138</v>
      </c>
      <c r="C46" s="579">
        <f>C35+C40+C45</f>
        <v>2510</v>
      </c>
      <c r="D46" s="580">
        <f>D35+D40+D45</f>
        <v>2510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2126</v>
      </c>
      <c r="H49" s="196">
        <v>1945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12773</v>
      </c>
      <c r="H50" s="578">
        <f>SUM(H44:H49)</f>
        <v>20095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894</v>
      </c>
      <c r="H54" s="196">
        <v>898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61373</v>
      </c>
      <c r="D56" s="584">
        <f>D20+D21+D22+D28+D33+D46+D52+D54+D55</f>
        <v>63126</v>
      </c>
      <c r="E56" s="100" t="s">
        <v>850</v>
      </c>
      <c r="F56" s="99" t="s">
        <v>172</v>
      </c>
      <c r="G56" s="581">
        <f>G50+G52+G53+G54+G55</f>
        <v>13667</v>
      </c>
      <c r="H56" s="582">
        <f>H50+H52+H53+H54+H55</f>
        <v>20993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v>7</v>
      </c>
      <c r="D59" s="196">
        <v>3</v>
      </c>
      <c r="E59" s="201" t="s">
        <v>180</v>
      </c>
      <c r="F59" s="468" t="s">
        <v>181</v>
      </c>
      <c r="G59" s="197">
        <v>3694</v>
      </c>
      <c r="H59" s="196">
        <v>18156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42722</v>
      </c>
      <c r="D61" s="196">
        <v>50795</v>
      </c>
      <c r="E61" s="200" t="s">
        <v>188</v>
      </c>
      <c r="F61" s="93" t="s">
        <v>189</v>
      </c>
      <c r="G61" s="577">
        <f>SUM(G62:G68)</f>
        <v>15820</v>
      </c>
      <c r="H61" s="578">
        <f>SUM(H62:H68)</f>
        <v>14706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873</v>
      </c>
      <c r="H62" s="196">
        <v>1443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10619+286+157-33+38+358-207</f>
        <v>11218</v>
      </c>
      <c r="H64" s="196">
        <v>8952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42729</v>
      </c>
      <c r="D65" s="580">
        <f>SUM(D59:D64)</f>
        <v>50798</v>
      </c>
      <c r="E65" s="89" t="s">
        <v>201</v>
      </c>
      <c r="F65" s="93" t="s">
        <v>202</v>
      </c>
      <c r="G65" s="197">
        <v>2188</v>
      </c>
      <c r="H65" s="196">
        <v>2765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v>870</v>
      </c>
      <c r="H66" s="196">
        <v>956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v>376</v>
      </c>
      <c r="H67" s="196">
        <v>353</v>
      </c>
    </row>
    <row r="68" spans="1:8" ht="15.75">
      <c r="A68" s="89" t="s">
        <v>206</v>
      </c>
      <c r="B68" s="91" t="s">
        <v>207</v>
      </c>
      <c r="C68" s="197">
        <v>222</v>
      </c>
      <c r="D68" s="196">
        <v>4718</v>
      </c>
      <c r="E68" s="89" t="s">
        <v>212</v>
      </c>
      <c r="F68" s="93" t="s">
        <v>213</v>
      </c>
      <c r="G68" s="197">
        <v>295</v>
      </c>
      <c r="H68" s="196">
        <v>237</v>
      </c>
    </row>
    <row r="69" spans="1:8" ht="15.75">
      <c r="A69" s="89" t="s">
        <v>210</v>
      </c>
      <c r="B69" s="91" t="s">
        <v>211</v>
      </c>
      <c r="C69" s="197">
        <v>7397</v>
      </c>
      <c r="D69" s="196">
        <v>11864</v>
      </c>
      <c r="E69" s="201" t="s">
        <v>79</v>
      </c>
      <c r="F69" s="93" t="s">
        <v>216</v>
      </c>
      <c r="G69" s="197">
        <f>200</f>
        <v>200</v>
      </c>
      <c r="H69" s="196">
        <v>324</v>
      </c>
    </row>
    <row r="70" spans="1:8" ht="15.75">
      <c r="A70" s="89" t="s">
        <v>214</v>
      </c>
      <c r="B70" s="91" t="s">
        <v>215</v>
      </c>
      <c r="C70" s="197">
        <v>516</v>
      </c>
      <c r="D70" s="196">
        <v>6849</v>
      </c>
      <c r="E70" s="89" t="s">
        <v>219</v>
      </c>
      <c r="F70" s="93" t="s">
        <v>220</v>
      </c>
      <c r="G70" s="197">
        <v>1344</v>
      </c>
      <c r="H70" s="196">
        <v>1307</v>
      </c>
    </row>
    <row r="71" spans="1:8" ht="15.75">
      <c r="A71" s="89" t="s">
        <v>217</v>
      </c>
      <c r="B71" s="91" t="s">
        <v>218</v>
      </c>
      <c r="C71" s="197"/>
      <c r="D71" s="196"/>
      <c r="E71" s="456" t="s">
        <v>47</v>
      </c>
      <c r="F71" s="95" t="s">
        <v>223</v>
      </c>
      <c r="G71" s="579">
        <f>G59+G60+G61+G69+G70</f>
        <v>21058</v>
      </c>
      <c r="H71" s="580">
        <f>H59+H60+H61+H69+H70</f>
        <v>34493</v>
      </c>
    </row>
    <row r="72" spans="1:8" ht="15.75">
      <c r="A72" s="89" t="s">
        <v>221</v>
      </c>
      <c r="B72" s="91" t="s">
        <v>222</v>
      </c>
      <c r="C72" s="197">
        <v>0</v>
      </c>
      <c r="D72" s="196">
        <v>113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v>7</v>
      </c>
      <c r="D73" s="196">
        <v>4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6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f>289+206</f>
        <v>495</v>
      </c>
      <c r="D75" s="196">
        <v>651</v>
      </c>
      <c r="E75" s="467" t="s">
        <v>160</v>
      </c>
      <c r="F75" s="95" t="s">
        <v>233</v>
      </c>
      <c r="G75" s="460">
        <v>40</v>
      </c>
      <c r="H75" s="461">
        <v>41</v>
      </c>
    </row>
    <row r="76" spans="1:8" ht="15.75">
      <c r="A76" s="464" t="s">
        <v>77</v>
      </c>
      <c r="B76" s="96" t="s">
        <v>232</v>
      </c>
      <c r="C76" s="579">
        <f>SUM(C68:C75)</f>
        <v>8637</v>
      </c>
      <c r="D76" s="580">
        <f>SUM(D68:D75)</f>
        <v>24199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21098</v>
      </c>
      <c r="H79" s="582">
        <f>H71+H73+H75+H77</f>
        <v>34534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v>717</v>
      </c>
      <c r="D88" s="196">
        <v>585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v>2087</v>
      </c>
      <c r="D89" s="196">
        <v>4035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2804</v>
      </c>
      <c r="D92" s="580">
        <f>SUM(D88:D91)</f>
        <v>4620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v>229</v>
      </c>
      <c r="D93" s="461">
        <v>229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54399</v>
      </c>
      <c r="D94" s="584">
        <f>D65+D76+D85+D92+D93</f>
        <v>79846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115772</v>
      </c>
      <c r="D95" s="586">
        <f>D94+D56</f>
        <v>142972</v>
      </c>
      <c r="E95" s="229" t="s">
        <v>942</v>
      </c>
      <c r="F95" s="471" t="s">
        <v>268</v>
      </c>
      <c r="G95" s="585">
        <f>G37+G40+G56+G79</f>
        <v>115772</v>
      </c>
      <c r="H95" s="586">
        <f>H37+H40+H56+H79</f>
        <v>142972.01319000003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5" t="s">
        <v>977</v>
      </c>
      <c r="B98" s="698">
        <f>pdeReportingDate</f>
        <v>45131</v>
      </c>
      <c r="C98" s="698"/>
      <c r="D98" s="698"/>
      <c r="E98" s="698"/>
      <c r="F98" s="698"/>
      <c r="G98" s="698"/>
      <c r="H98" s="698"/>
      <c r="M98" s="98"/>
    </row>
    <row r="99" spans="1:13" ht="15.75">
      <c r="A99" s="675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6" t="s">
        <v>8</v>
      </c>
      <c r="B100" s="699" t="str">
        <f>authorName</f>
        <v>Людмила Стамова</v>
      </c>
      <c r="C100" s="699"/>
      <c r="D100" s="699"/>
      <c r="E100" s="699"/>
      <c r="F100" s="699"/>
      <c r="G100" s="699"/>
      <c r="H100" s="699"/>
    </row>
    <row r="101" spans="1:8" ht="15.75">
      <c r="A101" s="676"/>
      <c r="B101" s="80"/>
      <c r="C101" s="80"/>
      <c r="D101" s="80"/>
      <c r="E101" s="80"/>
      <c r="F101" s="80"/>
      <c r="G101" s="80"/>
      <c r="H101" s="80"/>
    </row>
    <row r="102" spans="1:8" ht="15.75">
      <c r="A102" s="676" t="s">
        <v>920</v>
      </c>
      <c r="B102" s="700"/>
      <c r="C102" s="700"/>
      <c r="D102" s="700"/>
      <c r="E102" s="700"/>
      <c r="F102" s="700"/>
      <c r="G102" s="700"/>
      <c r="H102" s="700"/>
    </row>
    <row r="103" spans="1:13" ht="21.75" customHeight="1">
      <c r="A103" s="677"/>
      <c r="B103" s="697" t="s">
        <v>1000</v>
      </c>
      <c r="C103" s="697"/>
      <c r="D103" s="697"/>
      <c r="E103" s="697"/>
      <c r="M103" s="98"/>
    </row>
    <row r="104" spans="1:5" ht="21.75" customHeight="1">
      <c r="A104" s="677"/>
      <c r="B104" s="697" t="s">
        <v>979</v>
      </c>
      <c r="C104" s="697"/>
      <c r="D104" s="697"/>
      <c r="E104" s="697"/>
    </row>
    <row r="105" spans="1:13" ht="21.75" customHeight="1">
      <c r="A105" s="677"/>
      <c r="B105" s="697" t="s">
        <v>979</v>
      </c>
      <c r="C105" s="697"/>
      <c r="D105" s="697"/>
      <c r="E105" s="697"/>
      <c r="M105" s="98"/>
    </row>
    <row r="106" spans="1:5" ht="21.75" customHeight="1">
      <c r="A106" s="677"/>
      <c r="B106" s="697" t="s">
        <v>979</v>
      </c>
      <c r="C106" s="697"/>
      <c r="D106" s="697"/>
      <c r="E106" s="697"/>
    </row>
    <row r="107" spans="1:13" ht="21.75" customHeight="1">
      <c r="A107" s="677"/>
      <c r="B107" s="697"/>
      <c r="C107" s="697"/>
      <c r="D107" s="697"/>
      <c r="E107" s="697"/>
      <c r="M107" s="98"/>
    </row>
    <row r="108" spans="1:5" ht="21.75" customHeight="1">
      <c r="A108" s="677"/>
      <c r="B108" s="697"/>
      <c r="C108" s="697"/>
      <c r="D108" s="697"/>
      <c r="E108" s="697"/>
    </row>
    <row r="109" spans="1:13" ht="21.75" customHeight="1">
      <c r="A109" s="677"/>
      <c r="B109" s="697"/>
      <c r="C109" s="697"/>
      <c r="D109" s="697"/>
      <c r="E109" s="697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1">
      <selection activeCell="M27" sqref="M27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1271</v>
      </c>
      <c r="D12" s="313">
        <v>1189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f>3649-256</f>
        <v>3393</v>
      </c>
      <c r="D13" s="313">
        <f>3332-320</f>
        <v>3012</v>
      </c>
      <c r="E13" s="194" t="s">
        <v>281</v>
      </c>
      <c r="F13" s="240" t="s">
        <v>282</v>
      </c>
      <c r="G13" s="313">
        <v>102719</v>
      </c>
      <c r="H13" s="313">
        <v>121858</v>
      </c>
    </row>
    <row r="14" spans="1:8" ht="15.75">
      <c r="A14" s="194" t="s">
        <v>283</v>
      </c>
      <c r="B14" s="190" t="s">
        <v>284</v>
      </c>
      <c r="C14" s="313">
        <v>1574</v>
      </c>
      <c r="D14" s="313">
        <v>1891</v>
      </c>
      <c r="E14" s="245" t="s">
        <v>285</v>
      </c>
      <c r="F14" s="240" t="s">
        <v>286</v>
      </c>
      <c r="G14" s="313">
        <f>1891</f>
        <v>1891</v>
      </c>
      <c r="H14" s="313">
        <v>1200</v>
      </c>
    </row>
    <row r="15" spans="1:8" ht="15.75">
      <c r="A15" s="194" t="s">
        <v>287</v>
      </c>
      <c r="B15" s="190" t="s">
        <v>288</v>
      </c>
      <c r="C15" s="313">
        <f>7132</f>
        <v>7132</v>
      </c>
      <c r="D15" s="313">
        <v>6407</v>
      </c>
      <c r="E15" s="245" t="s">
        <v>79</v>
      </c>
      <c r="F15" s="240" t="s">
        <v>289</v>
      </c>
      <c r="G15" s="313">
        <f>1801</f>
        <v>1801</v>
      </c>
      <c r="H15" s="313">
        <v>862</v>
      </c>
    </row>
    <row r="16" spans="1:8" ht="15.75">
      <c r="A16" s="194" t="s">
        <v>290</v>
      </c>
      <c r="B16" s="190" t="s">
        <v>291</v>
      </c>
      <c r="C16" s="313">
        <f>1291</f>
        <v>1291</v>
      </c>
      <c r="D16" s="313">
        <v>1130</v>
      </c>
      <c r="E16" s="236" t="s">
        <v>52</v>
      </c>
      <c r="F16" s="264" t="s">
        <v>292</v>
      </c>
      <c r="G16" s="610">
        <f>SUM(G12:G15)</f>
        <v>106411</v>
      </c>
      <c r="H16" s="611">
        <f>SUM(H12:H15)</f>
        <v>123920</v>
      </c>
    </row>
    <row r="17" spans="1:8" ht="31.5">
      <c r="A17" s="194" t="s">
        <v>293</v>
      </c>
      <c r="B17" s="190" t="s">
        <v>294</v>
      </c>
      <c r="C17" s="313">
        <v>94555</v>
      </c>
      <c r="D17" s="313">
        <v>107868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>
        <v>31</v>
      </c>
      <c r="H18" s="621">
        <v>150</v>
      </c>
    </row>
    <row r="19" spans="1:8" ht="15.75">
      <c r="A19" s="194" t="s">
        <v>299</v>
      </c>
      <c r="B19" s="190" t="s">
        <v>300</v>
      </c>
      <c r="C19" s="313">
        <f>2915+129</f>
        <v>3044</v>
      </c>
      <c r="D19" s="313">
        <f>2520+320</f>
        <v>2840</v>
      </c>
      <c r="E19" s="194" t="s">
        <v>301</v>
      </c>
      <c r="F19" s="237" t="s">
        <v>302</v>
      </c>
      <c r="G19" s="313">
        <v>31</v>
      </c>
      <c r="H19" s="313">
        <v>150</v>
      </c>
    </row>
    <row r="20" spans="1:8" ht="15.75">
      <c r="A20" s="235" t="s">
        <v>303</v>
      </c>
      <c r="B20" s="190" t="s">
        <v>304</v>
      </c>
      <c r="C20" s="313">
        <v>2353</v>
      </c>
      <c r="D20" s="313">
        <v>2085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112260</v>
      </c>
      <c r="D22" s="611">
        <f>SUM(D12:D18)+D19</f>
        <v>124337</v>
      </c>
      <c r="E22" s="194" t="s">
        <v>309</v>
      </c>
      <c r="F22" s="237" t="s">
        <v>310</v>
      </c>
      <c r="G22" s="313"/>
      <c r="H22" s="313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>
        <v>1804</v>
      </c>
    </row>
    <row r="25" spans="1:8" ht="31.5">
      <c r="A25" s="194" t="s">
        <v>316</v>
      </c>
      <c r="B25" s="237" t="s">
        <v>317</v>
      </c>
      <c r="C25" s="313">
        <v>374</v>
      </c>
      <c r="D25" s="313">
        <f>442+17</f>
        <v>459</v>
      </c>
      <c r="E25" s="194" t="s">
        <v>318</v>
      </c>
      <c r="F25" s="237" t="s">
        <v>319</v>
      </c>
      <c r="G25" s="313"/>
      <c r="H25" s="313">
        <v>97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f>33-19</f>
        <v>14</v>
      </c>
      <c r="D27" s="313"/>
      <c r="E27" s="236" t="s">
        <v>104</v>
      </c>
      <c r="F27" s="238" t="s">
        <v>326</v>
      </c>
      <c r="G27" s="610">
        <f>SUM(G22:G26)</f>
        <v>0</v>
      </c>
      <c r="H27" s="611">
        <f>SUM(H22:H26)</f>
        <v>1902</v>
      </c>
    </row>
    <row r="28" spans="1:8" ht="15.75">
      <c r="A28" s="194" t="s">
        <v>79</v>
      </c>
      <c r="B28" s="237" t="s">
        <v>327</v>
      </c>
      <c r="C28" s="313">
        <v>232</v>
      </c>
      <c r="D28" s="313">
        <v>209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620</v>
      </c>
      <c r="D29" s="611">
        <f>SUM(D25:D28)</f>
        <v>668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112880</v>
      </c>
      <c r="D31" s="617">
        <f>D29+D22</f>
        <v>125005</v>
      </c>
      <c r="E31" s="251" t="s">
        <v>824</v>
      </c>
      <c r="F31" s="266" t="s">
        <v>331</v>
      </c>
      <c r="G31" s="253">
        <f>G16+G18+G27</f>
        <v>106442</v>
      </c>
      <c r="H31" s="254">
        <f>H16+H18+H27</f>
        <v>125972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967</v>
      </c>
      <c r="E33" s="233" t="s">
        <v>334</v>
      </c>
      <c r="F33" s="238" t="s">
        <v>335</v>
      </c>
      <c r="G33" s="610">
        <f>IF((C31-G31)&gt;0,C31-G31,0)</f>
        <v>6438</v>
      </c>
      <c r="H33" s="611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18">
        <f>C31-C34+C35</f>
        <v>112880</v>
      </c>
      <c r="D36" s="619">
        <f>D31-D34+D35</f>
        <v>125005</v>
      </c>
      <c r="E36" s="262" t="s">
        <v>346</v>
      </c>
      <c r="F36" s="256" t="s">
        <v>347</v>
      </c>
      <c r="G36" s="267">
        <f>G35-G34+G31</f>
        <v>106442</v>
      </c>
      <c r="H36" s="268">
        <f>H35-H34+H31</f>
        <v>125972</v>
      </c>
    </row>
    <row r="37" spans="1:8" ht="15.75">
      <c r="A37" s="261" t="s">
        <v>348</v>
      </c>
      <c r="B37" s="231" t="s">
        <v>349</v>
      </c>
      <c r="C37" s="616">
        <f>IF((G36-C36)&gt;0,G36-C36,0)</f>
        <v>0</v>
      </c>
      <c r="D37" s="617">
        <f>IF((H36-D36)&gt;0,H36-D36,0)</f>
        <v>967</v>
      </c>
      <c r="E37" s="261" t="s">
        <v>350</v>
      </c>
      <c r="F37" s="266" t="s">
        <v>351</v>
      </c>
      <c r="G37" s="253">
        <f>IF((C36-G36)&gt;0,C36-G36,0)</f>
        <v>6438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10">
        <f>C39+C40+C41</f>
        <v>0</v>
      </c>
      <c r="D38" s="611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967</v>
      </c>
      <c r="E42" s="247" t="s">
        <v>362</v>
      </c>
      <c r="F42" s="195" t="s">
        <v>363</v>
      </c>
      <c r="G42" s="241">
        <f>IF(G37&gt;0,IF(C38+G37&lt;0,0,C38+G37),IF(C37-C38&lt;0,C38-C37,0))</f>
        <v>6438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967</v>
      </c>
      <c r="E44" s="262" t="s">
        <v>369</v>
      </c>
      <c r="F44" s="269" t="s">
        <v>370</v>
      </c>
      <c r="G44" s="267">
        <f>IF(C42=0,IF(G42-G43&gt;0,G42-G43+C43,0),IF(C42-C43&lt;0,C43-C42+G43,0))</f>
        <v>6438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12">
        <f>C36+C38+C42</f>
        <v>112880</v>
      </c>
      <c r="D45" s="613">
        <f>D36+D38+D42</f>
        <v>125972</v>
      </c>
      <c r="E45" s="270" t="s">
        <v>373</v>
      </c>
      <c r="F45" s="272" t="s">
        <v>374</v>
      </c>
      <c r="G45" s="612">
        <f>G42+G36</f>
        <v>112880</v>
      </c>
      <c r="H45" s="613">
        <f>H42+H36</f>
        <v>125972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701" t="s">
        <v>978</v>
      </c>
      <c r="B47" s="701"/>
      <c r="C47" s="701"/>
      <c r="D47" s="701"/>
      <c r="E47" s="701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5" t="s">
        <v>977</v>
      </c>
      <c r="B50" s="698">
        <f>pdeReportingDate</f>
        <v>45131</v>
      </c>
      <c r="C50" s="698"/>
      <c r="D50" s="698"/>
      <c r="E50" s="698"/>
      <c r="F50" s="698"/>
      <c r="G50" s="698"/>
      <c r="H50" s="698"/>
      <c r="M50" s="98"/>
    </row>
    <row r="51" spans="1:13" s="42" customFormat="1" ht="15.75">
      <c r="A51" s="675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6" t="s">
        <v>8</v>
      </c>
      <c r="B52" s="699" t="str">
        <f>authorName</f>
        <v>Людмила Стамова</v>
      </c>
      <c r="C52" s="699"/>
      <c r="D52" s="699"/>
      <c r="E52" s="699"/>
      <c r="F52" s="699"/>
      <c r="G52" s="699"/>
      <c r="H52" s="699"/>
    </row>
    <row r="53" spans="1:8" s="42" customFormat="1" ht="15.75">
      <c r="A53" s="676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6" t="s">
        <v>920</v>
      </c>
      <c r="B54" s="700"/>
      <c r="C54" s="700"/>
      <c r="D54" s="700"/>
      <c r="E54" s="700"/>
      <c r="F54" s="700"/>
      <c r="G54" s="700"/>
      <c r="H54" s="700"/>
    </row>
    <row r="55" spans="1:8" ht="15.75" customHeight="1">
      <c r="A55" s="677"/>
      <c r="B55" s="697" t="s">
        <v>1000</v>
      </c>
      <c r="C55" s="697"/>
      <c r="D55" s="697"/>
      <c r="E55" s="697"/>
      <c r="F55" s="556"/>
      <c r="G55" s="45"/>
      <c r="H55" s="42"/>
    </row>
    <row r="56" spans="1:8" ht="15.75" customHeight="1">
      <c r="A56" s="677"/>
      <c r="B56" s="697" t="s">
        <v>979</v>
      </c>
      <c r="C56" s="697"/>
      <c r="D56" s="697"/>
      <c r="E56" s="697"/>
      <c r="F56" s="556"/>
      <c r="G56" s="45"/>
      <c r="H56" s="42"/>
    </row>
    <row r="57" spans="1:8" ht="15.75" customHeight="1">
      <c r="A57" s="677"/>
      <c r="B57" s="697" t="s">
        <v>979</v>
      </c>
      <c r="C57" s="697"/>
      <c r="D57" s="697"/>
      <c r="E57" s="697"/>
      <c r="F57" s="556"/>
      <c r="G57" s="45"/>
      <c r="H57" s="42"/>
    </row>
    <row r="58" spans="1:8" ht="15.75" customHeight="1">
      <c r="A58" s="677"/>
      <c r="B58" s="697" t="s">
        <v>979</v>
      </c>
      <c r="C58" s="697"/>
      <c r="D58" s="697"/>
      <c r="E58" s="697"/>
      <c r="F58" s="556"/>
      <c r="G58" s="45"/>
      <c r="H58" s="42"/>
    </row>
    <row r="59" spans="1:8" ht="15.75">
      <c r="A59" s="677"/>
      <c r="B59" s="697"/>
      <c r="C59" s="697"/>
      <c r="D59" s="697"/>
      <c r="E59" s="697"/>
      <c r="F59" s="556"/>
      <c r="G59" s="45"/>
      <c r="H59" s="42"/>
    </row>
    <row r="60" spans="1:8" ht="15.75">
      <c r="A60" s="677"/>
      <c r="B60" s="697"/>
      <c r="C60" s="697"/>
      <c r="D60" s="697"/>
      <c r="E60" s="697"/>
      <c r="F60" s="556"/>
      <c r="G60" s="45"/>
      <c r="H60" s="42"/>
    </row>
    <row r="61" spans="1:8" ht="15.75">
      <c r="A61" s="677"/>
      <c r="B61" s="697"/>
      <c r="C61" s="697"/>
      <c r="D61" s="697"/>
      <c r="E61" s="697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5">
      <selection activeCell="H38" sqref="H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f>124260-40</f>
        <v>124220</v>
      </c>
      <c r="D11" s="197">
        <f>147159-54-2</f>
        <v>147103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-100564+3248+526</f>
        <v>-96790</v>
      </c>
      <c r="D12" s="197">
        <f>-121580+343-37</f>
        <v>-121274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-8264</v>
      </c>
      <c r="D14" s="197">
        <v>-7272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</v>
      </c>
      <c r="D15" s="197">
        <v>-7494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-239</v>
      </c>
      <c r="D18" s="197">
        <v>-193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128</v>
      </c>
      <c r="D19" s="197">
        <v>14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39">
        <f>SUM(C11:C20)</f>
        <v>18951</v>
      </c>
      <c r="D21" s="640">
        <f>SUM(D11:D20)</f>
        <v>10884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-1908</v>
      </c>
      <c r="D23" s="197">
        <v>-431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4028</v>
      </c>
      <c r="D24" s="197">
        <v>997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f>12386+55</f>
        <v>12441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39">
        <f>SUM(C23:C32)</f>
        <v>2120</v>
      </c>
      <c r="D33" s="640">
        <f>SUM(D23:D32)</f>
        <v>13007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7"/>
      <c r="D34" s="638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62918</v>
      </c>
      <c r="D37" s="197">
        <v>43006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-84897</v>
      </c>
      <c r="D38" s="197">
        <v>-61808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-532-40</f>
        <v>-572</v>
      </c>
      <c r="D39" s="197">
        <f>-367-343</f>
        <v>-710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-336</v>
      </c>
      <c r="D40" s="197">
        <v>-406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1">
        <f>SUM(C35:C42)</f>
        <v>-22887</v>
      </c>
      <c r="D43" s="642">
        <f>SUM(D35:D42)</f>
        <v>-19918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-1816</v>
      </c>
      <c r="D44" s="305">
        <f>D43+D33+D21</f>
        <v>3973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f>'1-Баланс'!D92</f>
        <v>4620</v>
      </c>
      <c r="D45" s="306">
        <v>2068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2804</v>
      </c>
      <c r="D46" s="308">
        <f>D45+D44</f>
        <v>6041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695">
        <v>717</v>
      </c>
      <c r="D47" s="296"/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696">
        <v>2087</v>
      </c>
      <c r="D48" s="280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3" t="s">
        <v>968</v>
      </c>
      <c r="G50" s="180"/>
      <c r="H50" s="180"/>
    </row>
    <row r="51" spans="1:8" ht="15.75">
      <c r="A51" s="702" t="s">
        <v>974</v>
      </c>
      <c r="B51" s="702"/>
      <c r="C51" s="702"/>
      <c r="D51" s="702"/>
      <c r="G51" s="180"/>
      <c r="H51" s="180"/>
    </row>
    <row r="52" spans="1:8" ht="15.75">
      <c r="A52" s="674"/>
      <c r="B52" s="674"/>
      <c r="C52" s="674"/>
      <c r="D52" s="674"/>
      <c r="G52" s="180"/>
      <c r="H52" s="180"/>
    </row>
    <row r="53" spans="1:8" ht="15.75">
      <c r="A53" s="674"/>
      <c r="B53" s="674"/>
      <c r="C53" s="674"/>
      <c r="D53" s="674"/>
      <c r="G53" s="180"/>
      <c r="H53" s="180"/>
    </row>
    <row r="54" spans="1:13" s="42" customFormat="1" ht="15.75">
      <c r="A54" s="675" t="s">
        <v>977</v>
      </c>
      <c r="B54" s="698">
        <f>pdeReportingDate</f>
        <v>45131</v>
      </c>
      <c r="C54" s="698"/>
      <c r="D54" s="698"/>
      <c r="E54" s="698"/>
      <c r="F54" s="678"/>
      <c r="G54" s="678"/>
      <c r="H54" s="678"/>
      <c r="M54" s="98"/>
    </row>
    <row r="55" spans="1:13" s="42" customFormat="1" ht="15.75">
      <c r="A55" s="675"/>
      <c r="B55" s="698"/>
      <c r="C55" s="698"/>
      <c r="D55" s="698"/>
      <c r="E55" s="698"/>
      <c r="F55" s="52"/>
      <c r="G55" s="52"/>
      <c r="H55" s="52"/>
      <c r="M55" s="98"/>
    </row>
    <row r="56" spans="1:8" s="42" customFormat="1" ht="15.75">
      <c r="A56" s="676" t="s">
        <v>8</v>
      </c>
      <c r="B56" s="699" t="str">
        <f>authorName</f>
        <v>Людмила Стамова</v>
      </c>
      <c r="C56" s="699"/>
      <c r="D56" s="699"/>
      <c r="E56" s="699"/>
      <c r="F56" s="80"/>
      <c r="G56" s="80"/>
      <c r="H56" s="80"/>
    </row>
    <row r="57" spans="1:8" s="42" customFormat="1" ht="15.75">
      <c r="A57" s="676"/>
      <c r="B57" s="699"/>
      <c r="C57" s="699"/>
      <c r="D57" s="699"/>
      <c r="E57" s="699"/>
      <c r="F57" s="80"/>
      <c r="G57" s="80"/>
      <c r="H57" s="80"/>
    </row>
    <row r="58" spans="1:8" s="42" customFormat="1" ht="15.75">
      <c r="A58" s="676" t="s">
        <v>920</v>
      </c>
      <c r="B58" s="699"/>
      <c r="C58" s="699"/>
      <c r="D58" s="699"/>
      <c r="E58" s="699"/>
      <c r="F58" s="80"/>
      <c r="G58" s="80"/>
      <c r="H58" s="80"/>
    </row>
    <row r="59" spans="1:8" s="191" customFormat="1" ht="15.75" customHeight="1">
      <c r="A59" s="677"/>
      <c r="B59" s="697" t="s">
        <v>1000</v>
      </c>
      <c r="C59" s="697"/>
      <c r="D59" s="697"/>
      <c r="E59" s="697"/>
      <c r="F59" s="556"/>
      <c r="G59" s="45"/>
      <c r="H59" s="42"/>
    </row>
    <row r="60" spans="1:8" ht="15.75">
      <c r="A60" s="677"/>
      <c r="B60" s="697" t="s">
        <v>979</v>
      </c>
      <c r="C60" s="697"/>
      <c r="D60" s="697"/>
      <c r="E60" s="697"/>
      <c r="F60" s="556"/>
      <c r="G60" s="45"/>
      <c r="H60" s="42"/>
    </row>
    <row r="61" spans="1:8" ht="15.75">
      <c r="A61" s="677"/>
      <c r="B61" s="697" t="s">
        <v>979</v>
      </c>
      <c r="C61" s="697"/>
      <c r="D61" s="697"/>
      <c r="E61" s="697"/>
      <c r="F61" s="556"/>
      <c r="G61" s="45"/>
      <c r="H61" s="42"/>
    </row>
    <row r="62" spans="1:8" ht="15.75">
      <c r="A62" s="677"/>
      <c r="B62" s="697" t="s">
        <v>979</v>
      </c>
      <c r="C62" s="697"/>
      <c r="D62" s="697"/>
      <c r="E62" s="697"/>
      <c r="F62" s="556"/>
      <c r="G62" s="45"/>
      <c r="H62" s="42"/>
    </row>
    <row r="63" spans="1:8" ht="15.75">
      <c r="A63" s="677"/>
      <c r="B63" s="697"/>
      <c r="C63" s="697"/>
      <c r="D63" s="697"/>
      <c r="E63" s="697"/>
      <c r="F63" s="556"/>
      <c r="G63" s="45"/>
      <c r="H63" s="42"/>
    </row>
    <row r="64" spans="1:8" ht="15.75">
      <c r="A64" s="677"/>
      <c r="B64" s="697"/>
      <c r="C64" s="697"/>
      <c r="D64" s="697"/>
      <c r="E64" s="697"/>
      <c r="F64" s="556"/>
      <c r="G64" s="45"/>
      <c r="H64" s="42"/>
    </row>
    <row r="65" spans="1:8" ht="15.75">
      <c r="A65" s="677"/>
      <c r="B65" s="697"/>
      <c r="C65" s="697"/>
      <c r="D65" s="697"/>
      <c r="E65" s="697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D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9" zoomScaleSheetLayoutView="69" zoomScalePageLayoutView="0" workbookViewId="0" topLeftCell="A9">
      <selection activeCell="I23" sqref="I23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07" t="s">
        <v>453</v>
      </c>
      <c r="B8" s="710" t="s">
        <v>454</v>
      </c>
      <c r="C8" s="703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3" t="s">
        <v>460</v>
      </c>
      <c r="L8" s="703" t="s">
        <v>461</v>
      </c>
      <c r="M8" s="513"/>
      <c r="N8" s="514"/>
    </row>
    <row r="9" spans="1:14" s="515" customFormat="1" ht="31.5">
      <c r="A9" s="708"/>
      <c r="B9" s="711"/>
      <c r="C9" s="704"/>
      <c r="D9" s="706" t="s">
        <v>826</v>
      </c>
      <c r="E9" s="706" t="s">
        <v>456</v>
      </c>
      <c r="F9" s="517" t="s">
        <v>457</v>
      </c>
      <c r="G9" s="517"/>
      <c r="H9" s="517"/>
      <c r="I9" s="713" t="s">
        <v>458</v>
      </c>
      <c r="J9" s="713" t="s">
        <v>459</v>
      </c>
      <c r="K9" s="704"/>
      <c r="L9" s="704"/>
      <c r="M9" s="518" t="s">
        <v>825</v>
      </c>
      <c r="N9" s="514"/>
    </row>
    <row r="10" spans="1:14" s="515" customFormat="1" ht="31.5">
      <c r="A10" s="709"/>
      <c r="B10" s="712"/>
      <c r="C10" s="705"/>
      <c r="D10" s="706"/>
      <c r="E10" s="706"/>
      <c r="F10" s="516" t="s">
        <v>462</v>
      </c>
      <c r="G10" s="516" t="s">
        <v>463</v>
      </c>
      <c r="H10" s="516" t="s">
        <v>464</v>
      </c>
      <c r="I10" s="705"/>
      <c r="J10" s="705"/>
      <c r="K10" s="705"/>
      <c r="L10" s="705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5417</v>
      </c>
      <c r="D13" s="566">
        <f>'1-Баланс'!H20</f>
        <v>9539</v>
      </c>
      <c r="E13" s="566">
        <f>'1-Баланс'!H21</f>
        <v>8183</v>
      </c>
      <c r="F13" s="566">
        <f>'1-Баланс'!H23</f>
        <v>1373</v>
      </c>
      <c r="G13" s="566">
        <f>'1-Баланс'!H24</f>
        <v>0</v>
      </c>
      <c r="H13" s="567">
        <v>23376</v>
      </c>
      <c r="I13" s="566">
        <f>'1-Баланс'!H29+'1-Баланс'!H32</f>
        <v>44624</v>
      </c>
      <c r="J13" s="566">
        <f>'1-Баланс'!H30+'1-Баланс'!H33</f>
        <v>-5066.986809999973</v>
      </c>
      <c r="K13" s="567"/>
      <c r="L13" s="566">
        <f>SUM(C13:K13)</f>
        <v>87445.01319000003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1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4">
        <f>C13+C14</f>
        <v>5417</v>
      </c>
      <c r="D17" s="634">
        <f aca="true" t="shared" si="2" ref="D17:M17">D13+D14</f>
        <v>9539</v>
      </c>
      <c r="E17" s="634">
        <f t="shared" si="2"/>
        <v>8183</v>
      </c>
      <c r="F17" s="634">
        <f t="shared" si="2"/>
        <v>1373</v>
      </c>
      <c r="G17" s="634">
        <f t="shared" si="2"/>
        <v>0</v>
      </c>
      <c r="H17" s="634">
        <f t="shared" si="2"/>
        <v>23376</v>
      </c>
      <c r="I17" s="634">
        <f t="shared" si="2"/>
        <v>44624</v>
      </c>
      <c r="J17" s="634">
        <f t="shared" si="2"/>
        <v>-5066.986809999973</v>
      </c>
      <c r="K17" s="634">
        <f t="shared" si="2"/>
        <v>0</v>
      </c>
      <c r="L17" s="566">
        <f t="shared" si="1"/>
        <v>87445.01319000003</v>
      </c>
      <c r="M17" s="635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6"/>
      <c r="D18" s="636"/>
      <c r="E18" s="636"/>
      <c r="F18" s="636"/>
      <c r="G18" s="636"/>
      <c r="H18" s="636"/>
      <c r="I18" s="566">
        <f>+'1-Баланс'!G32</f>
        <v>0</v>
      </c>
      <c r="J18" s="566">
        <f>+'1-Баланс'!G33</f>
        <v>-6438</v>
      </c>
      <c r="K18" s="567"/>
      <c r="L18" s="566">
        <f t="shared" si="1"/>
        <v>-6438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-5066.986809999973</v>
      </c>
      <c r="J19" s="168">
        <f>J20+J21</f>
        <v>5066.986809999973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>
        <f>J13</f>
        <v>-5066.986809999973</v>
      </c>
      <c r="J20" s="313">
        <f>-J13</f>
        <v>5066.986809999973</v>
      </c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3"/>
      <c r="D30" s="313"/>
      <c r="E30" s="313">
        <f>-(E17-'1-Баланс'!G21)</f>
        <v>-32</v>
      </c>
      <c r="F30" s="313"/>
      <c r="G30" s="313"/>
      <c r="H30" s="313"/>
      <c r="I30" s="313">
        <f>-E30</f>
        <v>32</v>
      </c>
      <c r="J30" s="313"/>
      <c r="K30" s="313"/>
      <c r="L30" s="566">
        <f t="shared" si="1"/>
        <v>0</v>
      </c>
      <c r="M30" s="314"/>
      <c r="N30" s="169"/>
    </row>
    <row r="31" spans="1:14" ht="15.75">
      <c r="A31" s="529" t="s">
        <v>501</v>
      </c>
      <c r="B31" s="530" t="s">
        <v>502</v>
      </c>
      <c r="C31" s="634">
        <f>C19+C22+C23+C26+C30+C29+C17+C18</f>
        <v>5417</v>
      </c>
      <c r="D31" s="634">
        <f aca="true" t="shared" si="6" ref="D31:M31">D19+D22+D23+D26+D30+D29+D17+D18</f>
        <v>9539</v>
      </c>
      <c r="E31" s="634">
        <f t="shared" si="6"/>
        <v>8151</v>
      </c>
      <c r="F31" s="634">
        <f t="shared" si="6"/>
        <v>1373</v>
      </c>
      <c r="G31" s="634">
        <f t="shared" si="6"/>
        <v>0</v>
      </c>
      <c r="H31" s="634">
        <f t="shared" si="6"/>
        <v>23376</v>
      </c>
      <c r="I31" s="634">
        <f t="shared" si="6"/>
        <v>39589.01319000003</v>
      </c>
      <c r="J31" s="634">
        <f t="shared" si="6"/>
        <v>-6438</v>
      </c>
      <c r="K31" s="634">
        <f t="shared" si="6"/>
        <v>0</v>
      </c>
      <c r="L31" s="566">
        <f t="shared" si="1"/>
        <v>81007.01319000003</v>
      </c>
      <c r="M31" s="635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3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5417</v>
      </c>
      <c r="D34" s="569">
        <f t="shared" si="7"/>
        <v>9539</v>
      </c>
      <c r="E34" s="569">
        <f t="shared" si="7"/>
        <v>8151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39589.01319000003</v>
      </c>
      <c r="J34" s="569">
        <f t="shared" si="7"/>
        <v>-6438</v>
      </c>
      <c r="K34" s="569">
        <f t="shared" si="7"/>
        <v>0</v>
      </c>
      <c r="L34" s="632">
        <f t="shared" si="1"/>
        <v>81007.01319000003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5" t="s">
        <v>977</v>
      </c>
      <c r="B38" s="698">
        <f>pdeReportingDate</f>
        <v>45131</v>
      </c>
      <c r="C38" s="698"/>
      <c r="D38" s="698"/>
      <c r="E38" s="698"/>
      <c r="F38" s="698"/>
      <c r="G38" s="698"/>
      <c r="H38" s="698"/>
      <c r="M38" s="169"/>
    </row>
    <row r="39" spans="1:13" ht="15.75">
      <c r="A39" s="675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6" t="s">
        <v>8</v>
      </c>
      <c r="B40" s="699" t="str">
        <f>authorName</f>
        <v>Людмила Стамова</v>
      </c>
      <c r="C40" s="699"/>
      <c r="D40" s="699"/>
      <c r="E40" s="699"/>
      <c r="F40" s="699"/>
      <c r="G40" s="699"/>
      <c r="H40" s="699"/>
      <c r="M40" s="169"/>
    </row>
    <row r="41" spans="1:13" ht="15.75">
      <c r="A41" s="676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6" t="s">
        <v>920</v>
      </c>
      <c r="B42" s="700"/>
      <c r="C42" s="700"/>
      <c r="D42" s="700"/>
      <c r="E42" s="700"/>
      <c r="F42" s="700"/>
      <c r="G42" s="700"/>
      <c r="H42" s="700"/>
      <c r="M42" s="169"/>
    </row>
    <row r="43" spans="1:13" ht="15.75" customHeight="1">
      <c r="A43" s="677"/>
      <c r="B43" s="697" t="s">
        <v>1000</v>
      </c>
      <c r="C43" s="697"/>
      <c r="D43" s="697"/>
      <c r="E43" s="697"/>
      <c r="F43" s="556"/>
      <c r="G43" s="45"/>
      <c r="H43" s="42"/>
      <c r="M43" s="169"/>
    </row>
    <row r="44" spans="1:13" ht="15.75">
      <c r="A44" s="677"/>
      <c r="B44" s="697" t="s">
        <v>979</v>
      </c>
      <c r="C44" s="697"/>
      <c r="D44" s="697"/>
      <c r="E44" s="697"/>
      <c r="F44" s="556"/>
      <c r="G44" s="45"/>
      <c r="H44" s="42"/>
      <c r="M44" s="169"/>
    </row>
    <row r="45" spans="1:13" ht="15.75">
      <c r="A45" s="677"/>
      <c r="B45" s="697" t="s">
        <v>979</v>
      </c>
      <c r="C45" s="697"/>
      <c r="D45" s="697"/>
      <c r="E45" s="697"/>
      <c r="F45" s="556"/>
      <c r="G45" s="45"/>
      <c r="H45" s="42"/>
      <c r="M45" s="169"/>
    </row>
    <row r="46" spans="1:13" ht="15.75">
      <c r="A46" s="677"/>
      <c r="B46" s="697" t="s">
        <v>979</v>
      </c>
      <c r="C46" s="697"/>
      <c r="D46" s="697"/>
      <c r="E46" s="697"/>
      <c r="F46" s="556"/>
      <c r="G46" s="45"/>
      <c r="H46" s="42"/>
      <c r="M46" s="169"/>
    </row>
    <row r="47" spans="1:13" ht="15.75">
      <c r="A47" s="677"/>
      <c r="B47" s="697"/>
      <c r="C47" s="697"/>
      <c r="D47" s="697"/>
      <c r="E47" s="697"/>
      <c r="F47" s="556"/>
      <c r="G47" s="45"/>
      <c r="H47" s="42"/>
      <c r="M47" s="169"/>
    </row>
    <row r="48" spans="1:13" ht="15.75">
      <c r="A48" s="677"/>
      <c r="B48" s="697"/>
      <c r="C48" s="697"/>
      <c r="D48" s="697"/>
      <c r="E48" s="697"/>
      <c r="F48" s="556"/>
      <c r="G48" s="45"/>
      <c r="H48" s="42"/>
      <c r="M48" s="169"/>
    </row>
    <row r="49" spans="1:13" ht="15.75">
      <c r="A49" s="677"/>
      <c r="B49" s="697"/>
      <c r="C49" s="697"/>
      <c r="D49" s="697"/>
      <c r="E49" s="697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4" zoomScaleNormal="70" zoomScaleSheetLayoutView="54" workbookViewId="0" topLeftCell="A124">
      <selection activeCell="L48" sqref="L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0">
        <v>1</v>
      </c>
      <c r="B12" s="661"/>
      <c r="C12" s="92"/>
      <c r="D12" s="92"/>
      <c r="E12" s="92"/>
      <c r="F12" s="451">
        <f>C12-E12</f>
        <v>0</v>
      </c>
    </row>
    <row r="13" spans="1:6" ht="15.75">
      <c r="A13" s="660">
        <v>2</v>
      </c>
      <c r="B13" s="661"/>
      <c r="C13" s="92"/>
      <c r="D13" s="92"/>
      <c r="E13" s="92"/>
      <c r="F13" s="451">
        <f aca="true" t="shared" si="0" ref="F13:F26">C13-E13</f>
        <v>0</v>
      </c>
    </row>
    <row r="14" spans="1:6" ht="15.75">
      <c r="A14" s="660">
        <v>3</v>
      </c>
      <c r="B14" s="661"/>
      <c r="C14" s="92"/>
      <c r="D14" s="92"/>
      <c r="E14" s="92"/>
      <c r="F14" s="451">
        <f t="shared" si="0"/>
        <v>0</v>
      </c>
    </row>
    <row r="15" spans="1:6" ht="15.75">
      <c r="A15" s="660">
        <v>4</v>
      </c>
      <c r="B15" s="661"/>
      <c r="C15" s="92"/>
      <c r="D15" s="92"/>
      <c r="E15" s="92"/>
      <c r="F15" s="451">
        <f t="shared" si="0"/>
        <v>0</v>
      </c>
    </row>
    <row r="16" spans="1:6" ht="15.75">
      <c r="A16" s="660">
        <v>5</v>
      </c>
      <c r="B16" s="661"/>
      <c r="C16" s="92"/>
      <c r="D16" s="92"/>
      <c r="E16" s="92"/>
      <c r="F16" s="451">
        <f t="shared" si="0"/>
        <v>0</v>
      </c>
    </row>
    <row r="17" spans="1:6" ht="15.75">
      <c r="A17" s="660">
        <v>6</v>
      </c>
      <c r="B17" s="661"/>
      <c r="C17" s="92"/>
      <c r="D17" s="92"/>
      <c r="E17" s="92"/>
      <c r="F17" s="451">
        <f t="shared" si="0"/>
        <v>0</v>
      </c>
    </row>
    <row r="18" spans="1:6" ht="15.75">
      <c r="A18" s="660">
        <v>7</v>
      </c>
      <c r="B18" s="661"/>
      <c r="C18" s="92"/>
      <c r="D18" s="92"/>
      <c r="E18" s="92"/>
      <c r="F18" s="451">
        <f t="shared" si="0"/>
        <v>0</v>
      </c>
    </row>
    <row r="19" spans="1:6" ht="15.75">
      <c r="A19" s="660">
        <v>8</v>
      </c>
      <c r="B19" s="661"/>
      <c r="C19" s="92"/>
      <c r="D19" s="92"/>
      <c r="E19" s="92"/>
      <c r="F19" s="451">
        <f t="shared" si="0"/>
        <v>0</v>
      </c>
    </row>
    <row r="20" spans="1:6" ht="15.75">
      <c r="A20" s="660">
        <v>9</v>
      </c>
      <c r="B20" s="661"/>
      <c r="C20" s="92"/>
      <c r="D20" s="92"/>
      <c r="E20" s="92"/>
      <c r="F20" s="451">
        <f t="shared" si="0"/>
        <v>0</v>
      </c>
    </row>
    <row r="21" spans="1:6" ht="15.75">
      <c r="A21" s="660">
        <v>10</v>
      </c>
      <c r="B21" s="661"/>
      <c r="C21" s="92"/>
      <c r="D21" s="92"/>
      <c r="E21" s="92"/>
      <c r="F21" s="451">
        <f t="shared" si="0"/>
        <v>0</v>
      </c>
    </row>
    <row r="22" spans="1:6" ht="15.75">
      <c r="A22" s="660">
        <v>11</v>
      </c>
      <c r="B22" s="661"/>
      <c r="C22" s="92"/>
      <c r="D22" s="92"/>
      <c r="E22" s="92"/>
      <c r="F22" s="451">
        <f t="shared" si="0"/>
        <v>0</v>
      </c>
    </row>
    <row r="23" spans="1:6" ht="15.75">
      <c r="A23" s="660">
        <v>12</v>
      </c>
      <c r="B23" s="661"/>
      <c r="C23" s="92"/>
      <c r="D23" s="92"/>
      <c r="E23" s="92"/>
      <c r="F23" s="451">
        <f t="shared" si="0"/>
        <v>0</v>
      </c>
    </row>
    <row r="24" spans="1:6" ht="15.75">
      <c r="A24" s="660">
        <v>13</v>
      </c>
      <c r="B24" s="661"/>
      <c r="C24" s="92"/>
      <c r="D24" s="92"/>
      <c r="E24" s="92"/>
      <c r="F24" s="451">
        <f t="shared" si="0"/>
        <v>0</v>
      </c>
    </row>
    <row r="25" spans="1:6" ht="15.75">
      <c r="A25" s="660">
        <v>14</v>
      </c>
      <c r="B25" s="661"/>
      <c r="C25" s="92"/>
      <c r="D25" s="92"/>
      <c r="E25" s="92"/>
      <c r="F25" s="451">
        <f t="shared" si="0"/>
        <v>0</v>
      </c>
    </row>
    <row r="26" spans="1:6" ht="15.75">
      <c r="A26" s="660">
        <v>15</v>
      </c>
      <c r="B26" s="661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0">
        <v>1</v>
      </c>
      <c r="B29" s="661"/>
      <c r="C29" s="92"/>
      <c r="D29" s="92"/>
      <c r="E29" s="92"/>
      <c r="F29" s="451">
        <f>C29-E29</f>
        <v>0</v>
      </c>
    </row>
    <row r="30" spans="1:6" ht="15.75">
      <c r="A30" s="660">
        <v>2</v>
      </c>
      <c r="B30" s="661"/>
      <c r="C30" s="92"/>
      <c r="D30" s="92"/>
      <c r="E30" s="92"/>
      <c r="F30" s="451">
        <f aca="true" t="shared" si="1" ref="F30:F43">C30-E30</f>
        <v>0</v>
      </c>
    </row>
    <row r="31" spans="1:6" ht="15.75">
      <c r="A31" s="660">
        <v>3</v>
      </c>
      <c r="B31" s="661"/>
      <c r="C31" s="92"/>
      <c r="D31" s="92"/>
      <c r="E31" s="92"/>
      <c r="F31" s="451">
        <f t="shared" si="1"/>
        <v>0</v>
      </c>
    </row>
    <row r="32" spans="1:6" ht="15.75">
      <c r="A32" s="660">
        <v>4</v>
      </c>
      <c r="B32" s="661"/>
      <c r="C32" s="92"/>
      <c r="D32" s="92"/>
      <c r="E32" s="92"/>
      <c r="F32" s="451">
        <f t="shared" si="1"/>
        <v>0</v>
      </c>
    </row>
    <row r="33" spans="1:6" ht="15.75">
      <c r="A33" s="660">
        <v>5</v>
      </c>
      <c r="B33" s="661"/>
      <c r="C33" s="92"/>
      <c r="D33" s="92"/>
      <c r="E33" s="92"/>
      <c r="F33" s="451">
        <f t="shared" si="1"/>
        <v>0</v>
      </c>
    </row>
    <row r="34" spans="1:6" ht="15.75">
      <c r="A34" s="660">
        <v>6</v>
      </c>
      <c r="B34" s="661"/>
      <c r="C34" s="92"/>
      <c r="D34" s="92"/>
      <c r="E34" s="92"/>
      <c r="F34" s="451">
        <f t="shared" si="1"/>
        <v>0</v>
      </c>
    </row>
    <row r="35" spans="1:6" ht="15.75">
      <c r="A35" s="660">
        <v>7</v>
      </c>
      <c r="B35" s="661"/>
      <c r="C35" s="92"/>
      <c r="D35" s="92"/>
      <c r="E35" s="92"/>
      <c r="F35" s="451">
        <f t="shared" si="1"/>
        <v>0</v>
      </c>
    </row>
    <row r="36" spans="1:6" ht="15.75">
      <c r="A36" s="660">
        <v>8</v>
      </c>
      <c r="B36" s="661"/>
      <c r="C36" s="92"/>
      <c r="D36" s="92"/>
      <c r="E36" s="92"/>
      <c r="F36" s="451">
        <f t="shared" si="1"/>
        <v>0</v>
      </c>
    </row>
    <row r="37" spans="1:6" ht="15.75">
      <c r="A37" s="660">
        <v>9</v>
      </c>
      <c r="B37" s="661"/>
      <c r="C37" s="92"/>
      <c r="D37" s="92"/>
      <c r="E37" s="92"/>
      <c r="F37" s="451">
        <f t="shared" si="1"/>
        <v>0</v>
      </c>
    </row>
    <row r="38" spans="1:6" ht="15.75">
      <c r="A38" s="660">
        <v>10</v>
      </c>
      <c r="B38" s="661"/>
      <c r="C38" s="92"/>
      <c r="D38" s="92"/>
      <c r="E38" s="92"/>
      <c r="F38" s="451">
        <f t="shared" si="1"/>
        <v>0</v>
      </c>
    </row>
    <row r="39" spans="1:6" ht="15.75">
      <c r="A39" s="660">
        <v>11</v>
      </c>
      <c r="B39" s="661"/>
      <c r="C39" s="92"/>
      <c r="D39" s="92"/>
      <c r="E39" s="92"/>
      <c r="F39" s="451">
        <f t="shared" si="1"/>
        <v>0</v>
      </c>
    </row>
    <row r="40" spans="1:6" ht="15.75">
      <c r="A40" s="660">
        <v>12</v>
      </c>
      <c r="B40" s="661"/>
      <c r="C40" s="92"/>
      <c r="D40" s="92"/>
      <c r="E40" s="92"/>
      <c r="F40" s="451">
        <f t="shared" si="1"/>
        <v>0</v>
      </c>
    </row>
    <row r="41" spans="1:6" ht="15.75">
      <c r="A41" s="660">
        <v>13</v>
      </c>
      <c r="B41" s="661"/>
      <c r="C41" s="92"/>
      <c r="D41" s="92"/>
      <c r="E41" s="92"/>
      <c r="F41" s="451">
        <f t="shared" si="1"/>
        <v>0</v>
      </c>
    </row>
    <row r="42" spans="1:6" ht="15.75">
      <c r="A42" s="660">
        <v>14</v>
      </c>
      <c r="B42" s="661"/>
      <c r="C42" s="92"/>
      <c r="D42" s="92"/>
      <c r="E42" s="92"/>
      <c r="F42" s="451">
        <f t="shared" si="1"/>
        <v>0</v>
      </c>
    </row>
    <row r="43" spans="1:6" ht="15.75">
      <c r="A43" s="660">
        <v>15</v>
      </c>
      <c r="B43" s="661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0" t="s">
        <v>999</v>
      </c>
      <c r="B46" s="661"/>
      <c r="C46" s="92">
        <v>2510</v>
      </c>
      <c r="D46" s="92">
        <v>10</v>
      </c>
      <c r="E46" s="92"/>
      <c r="F46" s="451">
        <f>C46-E46</f>
        <v>2510</v>
      </c>
    </row>
    <row r="47" spans="1:6" ht="15.75">
      <c r="A47" s="660">
        <v>2</v>
      </c>
      <c r="B47" s="661"/>
      <c r="C47" s="92"/>
      <c r="D47" s="92"/>
      <c r="E47" s="92"/>
      <c r="F47" s="451">
        <f aca="true" t="shared" si="2" ref="F47:F60">C47-E47</f>
        <v>0</v>
      </c>
    </row>
    <row r="48" spans="1:6" ht="15.75">
      <c r="A48" s="660">
        <v>3</v>
      </c>
      <c r="B48" s="661"/>
      <c r="C48" s="92"/>
      <c r="D48" s="92"/>
      <c r="E48" s="92"/>
      <c r="F48" s="451">
        <f t="shared" si="2"/>
        <v>0</v>
      </c>
    </row>
    <row r="49" spans="1:6" ht="15.75">
      <c r="A49" s="660">
        <v>4</v>
      </c>
      <c r="B49" s="661"/>
      <c r="C49" s="92"/>
      <c r="D49" s="92"/>
      <c r="E49" s="92"/>
      <c r="F49" s="451">
        <f t="shared" si="2"/>
        <v>0</v>
      </c>
    </row>
    <row r="50" spans="1:6" ht="15.75">
      <c r="A50" s="660">
        <v>5</v>
      </c>
      <c r="B50" s="661"/>
      <c r="C50" s="92"/>
      <c r="D50" s="92"/>
      <c r="E50" s="92"/>
      <c r="F50" s="451">
        <f t="shared" si="2"/>
        <v>0</v>
      </c>
    </row>
    <row r="51" spans="1:6" ht="15.75">
      <c r="A51" s="660">
        <v>6</v>
      </c>
      <c r="B51" s="661"/>
      <c r="C51" s="92"/>
      <c r="D51" s="92"/>
      <c r="E51" s="92"/>
      <c r="F51" s="451">
        <f t="shared" si="2"/>
        <v>0</v>
      </c>
    </row>
    <row r="52" spans="1:6" ht="15.75">
      <c r="A52" s="660">
        <v>7</v>
      </c>
      <c r="B52" s="661"/>
      <c r="C52" s="92"/>
      <c r="D52" s="92"/>
      <c r="E52" s="92"/>
      <c r="F52" s="451">
        <f t="shared" si="2"/>
        <v>0</v>
      </c>
    </row>
    <row r="53" spans="1:6" ht="15.75">
      <c r="A53" s="660">
        <v>8</v>
      </c>
      <c r="B53" s="661"/>
      <c r="C53" s="92"/>
      <c r="D53" s="92"/>
      <c r="E53" s="92"/>
      <c r="F53" s="451">
        <f t="shared" si="2"/>
        <v>0</v>
      </c>
    </row>
    <row r="54" spans="1:6" ht="15.75">
      <c r="A54" s="660">
        <v>9</v>
      </c>
      <c r="B54" s="661"/>
      <c r="C54" s="92"/>
      <c r="D54" s="92"/>
      <c r="E54" s="92"/>
      <c r="F54" s="451">
        <f t="shared" si="2"/>
        <v>0</v>
      </c>
    </row>
    <row r="55" spans="1:6" ht="15.75">
      <c r="A55" s="660">
        <v>10</v>
      </c>
      <c r="B55" s="661"/>
      <c r="C55" s="92"/>
      <c r="D55" s="92"/>
      <c r="E55" s="92"/>
      <c r="F55" s="451">
        <f t="shared" si="2"/>
        <v>0</v>
      </c>
    </row>
    <row r="56" spans="1:6" ht="15.75">
      <c r="A56" s="660">
        <v>11</v>
      </c>
      <c r="B56" s="661"/>
      <c r="C56" s="92"/>
      <c r="D56" s="92"/>
      <c r="E56" s="92"/>
      <c r="F56" s="451">
        <f t="shared" si="2"/>
        <v>0</v>
      </c>
    </row>
    <row r="57" spans="1:6" ht="15.75">
      <c r="A57" s="660">
        <v>12</v>
      </c>
      <c r="B57" s="661"/>
      <c r="C57" s="92"/>
      <c r="D57" s="92"/>
      <c r="E57" s="92"/>
      <c r="F57" s="451">
        <f t="shared" si="2"/>
        <v>0</v>
      </c>
    </row>
    <row r="58" spans="1:6" ht="15.75">
      <c r="A58" s="660">
        <v>13</v>
      </c>
      <c r="B58" s="661"/>
      <c r="C58" s="92"/>
      <c r="D58" s="92"/>
      <c r="E58" s="92"/>
      <c r="F58" s="451">
        <f t="shared" si="2"/>
        <v>0</v>
      </c>
    </row>
    <row r="59" spans="1:6" ht="15.75">
      <c r="A59" s="660">
        <v>14</v>
      </c>
      <c r="B59" s="661"/>
      <c r="C59" s="92"/>
      <c r="D59" s="92"/>
      <c r="E59" s="92"/>
      <c r="F59" s="451">
        <f t="shared" si="2"/>
        <v>0</v>
      </c>
    </row>
    <row r="60" spans="1:6" ht="15.75">
      <c r="A60" s="660">
        <v>15</v>
      </c>
      <c r="B60" s="661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2510</v>
      </c>
      <c r="D61" s="454"/>
      <c r="E61" s="454">
        <f>SUM(E46:E60)</f>
        <v>0</v>
      </c>
      <c r="F61" s="454">
        <f>SUM(F46:F60)</f>
        <v>2510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0">
        <v>1</v>
      </c>
      <c r="B63" s="661"/>
      <c r="C63" s="92"/>
      <c r="D63" s="92"/>
      <c r="E63" s="92"/>
      <c r="F63" s="451">
        <f>C63-E63</f>
        <v>0</v>
      </c>
    </row>
    <row r="64" spans="1:6" ht="15.75">
      <c r="A64" s="660">
        <v>2</v>
      </c>
      <c r="B64" s="661"/>
      <c r="C64" s="92"/>
      <c r="D64" s="92"/>
      <c r="E64" s="92"/>
      <c r="F64" s="451">
        <f aca="true" t="shared" si="3" ref="F64:F77">C64-E64</f>
        <v>0</v>
      </c>
    </row>
    <row r="65" spans="1:6" ht="15.75">
      <c r="A65" s="660">
        <v>3</v>
      </c>
      <c r="B65" s="661"/>
      <c r="C65" s="92"/>
      <c r="D65" s="92"/>
      <c r="E65" s="92"/>
      <c r="F65" s="451">
        <f t="shared" si="3"/>
        <v>0</v>
      </c>
    </row>
    <row r="66" spans="1:6" ht="15.75">
      <c r="A66" s="660">
        <v>4</v>
      </c>
      <c r="B66" s="661"/>
      <c r="C66" s="92"/>
      <c r="D66" s="92"/>
      <c r="E66" s="92"/>
      <c r="F66" s="451">
        <f t="shared" si="3"/>
        <v>0</v>
      </c>
    </row>
    <row r="67" spans="1:6" ht="15.75">
      <c r="A67" s="660">
        <v>5</v>
      </c>
      <c r="B67" s="661"/>
      <c r="C67" s="92"/>
      <c r="D67" s="92"/>
      <c r="E67" s="92"/>
      <c r="F67" s="451">
        <f t="shared" si="3"/>
        <v>0</v>
      </c>
    </row>
    <row r="68" spans="1:6" ht="15.75">
      <c r="A68" s="660">
        <v>6</v>
      </c>
      <c r="B68" s="661"/>
      <c r="C68" s="92"/>
      <c r="D68" s="92"/>
      <c r="E68" s="92"/>
      <c r="F68" s="451">
        <f t="shared" si="3"/>
        <v>0</v>
      </c>
    </row>
    <row r="69" spans="1:6" ht="15.75">
      <c r="A69" s="660">
        <v>7</v>
      </c>
      <c r="B69" s="661"/>
      <c r="C69" s="92"/>
      <c r="D69" s="92"/>
      <c r="E69" s="92"/>
      <c r="F69" s="451">
        <f t="shared" si="3"/>
        <v>0</v>
      </c>
    </row>
    <row r="70" spans="1:6" ht="15.75">
      <c r="A70" s="660">
        <v>8</v>
      </c>
      <c r="B70" s="661"/>
      <c r="C70" s="92"/>
      <c r="D70" s="92"/>
      <c r="E70" s="92"/>
      <c r="F70" s="451">
        <f t="shared" si="3"/>
        <v>0</v>
      </c>
    </row>
    <row r="71" spans="1:6" ht="15.75">
      <c r="A71" s="660">
        <v>9</v>
      </c>
      <c r="B71" s="661"/>
      <c r="C71" s="92"/>
      <c r="D71" s="92"/>
      <c r="E71" s="92"/>
      <c r="F71" s="451">
        <f t="shared" si="3"/>
        <v>0</v>
      </c>
    </row>
    <row r="72" spans="1:6" ht="15.75">
      <c r="A72" s="660">
        <v>10</v>
      </c>
      <c r="B72" s="661"/>
      <c r="C72" s="92"/>
      <c r="D72" s="92"/>
      <c r="E72" s="92"/>
      <c r="F72" s="451">
        <f t="shared" si="3"/>
        <v>0</v>
      </c>
    </row>
    <row r="73" spans="1:6" ht="15.75">
      <c r="A73" s="660">
        <v>11</v>
      </c>
      <c r="B73" s="661"/>
      <c r="C73" s="92"/>
      <c r="D73" s="92"/>
      <c r="E73" s="92"/>
      <c r="F73" s="451">
        <f t="shared" si="3"/>
        <v>0</v>
      </c>
    </row>
    <row r="74" spans="1:6" ht="15.75">
      <c r="A74" s="660">
        <v>12</v>
      </c>
      <c r="B74" s="661"/>
      <c r="C74" s="92"/>
      <c r="D74" s="92"/>
      <c r="E74" s="92"/>
      <c r="F74" s="451">
        <f t="shared" si="3"/>
        <v>0</v>
      </c>
    </row>
    <row r="75" spans="1:6" ht="15.75">
      <c r="A75" s="660">
        <v>13</v>
      </c>
      <c r="B75" s="661"/>
      <c r="C75" s="92"/>
      <c r="D75" s="92"/>
      <c r="E75" s="92"/>
      <c r="F75" s="451">
        <f t="shared" si="3"/>
        <v>0</v>
      </c>
    </row>
    <row r="76" spans="1:6" ht="15.75">
      <c r="A76" s="660">
        <v>14</v>
      </c>
      <c r="B76" s="661"/>
      <c r="C76" s="92"/>
      <c r="D76" s="92"/>
      <c r="E76" s="92"/>
      <c r="F76" s="451">
        <f t="shared" si="3"/>
        <v>0</v>
      </c>
    </row>
    <row r="77" spans="1:6" ht="15.75">
      <c r="A77" s="660">
        <v>15</v>
      </c>
      <c r="B77" s="661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2510</v>
      </c>
      <c r="D79" s="454"/>
      <c r="E79" s="454">
        <f>E78+E61+E44+E27</f>
        <v>0</v>
      </c>
      <c r="F79" s="454">
        <f>F78+F61+F44+F27</f>
        <v>2510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0">
        <v>1</v>
      </c>
      <c r="B82" s="661"/>
      <c r="C82" s="92"/>
      <c r="D82" s="92"/>
      <c r="E82" s="92"/>
      <c r="F82" s="451">
        <f>C82-E82</f>
        <v>0</v>
      </c>
    </row>
    <row r="83" spans="1:6" ht="15.75">
      <c r="A83" s="660">
        <v>2</v>
      </c>
      <c r="B83" s="661"/>
      <c r="C83" s="92"/>
      <c r="D83" s="92"/>
      <c r="E83" s="92"/>
      <c r="F83" s="451">
        <f aca="true" t="shared" si="4" ref="F83:F96">C83-E83</f>
        <v>0</v>
      </c>
    </row>
    <row r="84" spans="1:6" ht="15.75">
      <c r="A84" s="660">
        <v>3</v>
      </c>
      <c r="B84" s="661"/>
      <c r="C84" s="92"/>
      <c r="D84" s="92"/>
      <c r="E84" s="92"/>
      <c r="F84" s="451">
        <f t="shared" si="4"/>
        <v>0</v>
      </c>
    </row>
    <row r="85" spans="1:6" ht="15.75">
      <c r="A85" s="660">
        <v>4</v>
      </c>
      <c r="B85" s="661"/>
      <c r="C85" s="92"/>
      <c r="D85" s="92"/>
      <c r="E85" s="92"/>
      <c r="F85" s="451">
        <f t="shared" si="4"/>
        <v>0</v>
      </c>
    </row>
    <row r="86" spans="1:6" ht="15.75">
      <c r="A86" s="660">
        <v>5</v>
      </c>
      <c r="B86" s="661"/>
      <c r="C86" s="92"/>
      <c r="D86" s="92"/>
      <c r="E86" s="92"/>
      <c r="F86" s="451">
        <f t="shared" si="4"/>
        <v>0</v>
      </c>
    </row>
    <row r="87" spans="1:6" ht="15.75">
      <c r="A87" s="660">
        <v>6</v>
      </c>
      <c r="B87" s="661"/>
      <c r="C87" s="92"/>
      <c r="D87" s="92"/>
      <c r="E87" s="92"/>
      <c r="F87" s="451">
        <f t="shared" si="4"/>
        <v>0</v>
      </c>
    </row>
    <row r="88" spans="1:6" ht="15.75">
      <c r="A88" s="660">
        <v>7</v>
      </c>
      <c r="B88" s="661"/>
      <c r="C88" s="92"/>
      <c r="D88" s="92"/>
      <c r="E88" s="92"/>
      <c r="F88" s="451">
        <f t="shared" si="4"/>
        <v>0</v>
      </c>
    </row>
    <row r="89" spans="1:6" ht="15.75">
      <c r="A89" s="660">
        <v>8</v>
      </c>
      <c r="B89" s="661"/>
      <c r="C89" s="92"/>
      <c r="D89" s="92"/>
      <c r="E89" s="92"/>
      <c r="F89" s="451">
        <f t="shared" si="4"/>
        <v>0</v>
      </c>
    </row>
    <row r="90" spans="1:6" ht="15.75">
      <c r="A90" s="660">
        <v>9</v>
      </c>
      <c r="B90" s="661"/>
      <c r="C90" s="92"/>
      <c r="D90" s="92"/>
      <c r="E90" s="92"/>
      <c r="F90" s="451">
        <f t="shared" si="4"/>
        <v>0</v>
      </c>
    </row>
    <row r="91" spans="1:6" ht="15.75">
      <c r="A91" s="660">
        <v>10</v>
      </c>
      <c r="B91" s="661"/>
      <c r="C91" s="92"/>
      <c r="D91" s="92"/>
      <c r="E91" s="92"/>
      <c r="F91" s="451">
        <f t="shared" si="4"/>
        <v>0</v>
      </c>
    </row>
    <row r="92" spans="1:6" ht="15.75">
      <c r="A92" s="660">
        <v>11</v>
      </c>
      <c r="B92" s="661"/>
      <c r="C92" s="92"/>
      <c r="D92" s="92"/>
      <c r="E92" s="92"/>
      <c r="F92" s="451">
        <f t="shared" si="4"/>
        <v>0</v>
      </c>
    </row>
    <row r="93" spans="1:6" ht="15.75">
      <c r="A93" s="660">
        <v>12</v>
      </c>
      <c r="B93" s="661"/>
      <c r="C93" s="92"/>
      <c r="D93" s="92"/>
      <c r="E93" s="92"/>
      <c r="F93" s="451">
        <f t="shared" si="4"/>
        <v>0</v>
      </c>
    </row>
    <row r="94" spans="1:6" ht="15.75">
      <c r="A94" s="660">
        <v>13</v>
      </c>
      <c r="B94" s="661"/>
      <c r="C94" s="92"/>
      <c r="D94" s="92"/>
      <c r="E94" s="92"/>
      <c r="F94" s="451">
        <f t="shared" si="4"/>
        <v>0</v>
      </c>
    </row>
    <row r="95" spans="1:6" ht="15.75">
      <c r="A95" s="660">
        <v>14</v>
      </c>
      <c r="B95" s="661"/>
      <c r="C95" s="92"/>
      <c r="D95" s="92"/>
      <c r="E95" s="92"/>
      <c r="F95" s="451">
        <f t="shared" si="4"/>
        <v>0</v>
      </c>
    </row>
    <row r="96" spans="1:6" ht="15.75">
      <c r="A96" s="660">
        <v>15</v>
      </c>
      <c r="B96" s="661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0">
        <v>1</v>
      </c>
      <c r="B99" s="661"/>
      <c r="C99" s="92"/>
      <c r="D99" s="92"/>
      <c r="E99" s="92"/>
      <c r="F99" s="451">
        <f>C99-E99</f>
        <v>0</v>
      </c>
    </row>
    <row r="100" spans="1:6" ht="15.75">
      <c r="A100" s="660">
        <v>2</v>
      </c>
      <c r="B100" s="661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0">
        <v>3</v>
      </c>
      <c r="B101" s="661"/>
      <c r="C101" s="92"/>
      <c r="D101" s="92"/>
      <c r="E101" s="92"/>
      <c r="F101" s="451">
        <f t="shared" si="5"/>
        <v>0</v>
      </c>
    </row>
    <row r="102" spans="1:6" ht="15.75">
      <c r="A102" s="660">
        <v>4</v>
      </c>
      <c r="B102" s="661"/>
      <c r="C102" s="92"/>
      <c r="D102" s="92"/>
      <c r="E102" s="92"/>
      <c r="F102" s="451">
        <f t="shared" si="5"/>
        <v>0</v>
      </c>
    </row>
    <row r="103" spans="1:6" ht="15.75">
      <c r="A103" s="660">
        <v>5</v>
      </c>
      <c r="B103" s="661"/>
      <c r="C103" s="92"/>
      <c r="D103" s="92"/>
      <c r="E103" s="92"/>
      <c r="F103" s="451">
        <f t="shared" si="5"/>
        <v>0</v>
      </c>
    </row>
    <row r="104" spans="1:6" ht="15.75">
      <c r="A104" s="660">
        <v>6</v>
      </c>
      <c r="B104" s="661"/>
      <c r="C104" s="92"/>
      <c r="D104" s="92"/>
      <c r="E104" s="92"/>
      <c r="F104" s="451">
        <f t="shared" si="5"/>
        <v>0</v>
      </c>
    </row>
    <row r="105" spans="1:6" ht="15.75">
      <c r="A105" s="660">
        <v>7</v>
      </c>
      <c r="B105" s="661"/>
      <c r="C105" s="92"/>
      <c r="D105" s="92"/>
      <c r="E105" s="92"/>
      <c r="F105" s="451">
        <f t="shared" si="5"/>
        <v>0</v>
      </c>
    </row>
    <row r="106" spans="1:6" ht="15.75">
      <c r="A106" s="660">
        <v>8</v>
      </c>
      <c r="B106" s="661"/>
      <c r="C106" s="92"/>
      <c r="D106" s="92"/>
      <c r="E106" s="92"/>
      <c r="F106" s="451">
        <f t="shared" si="5"/>
        <v>0</v>
      </c>
    </row>
    <row r="107" spans="1:6" ht="15.75">
      <c r="A107" s="660">
        <v>9</v>
      </c>
      <c r="B107" s="661"/>
      <c r="C107" s="92"/>
      <c r="D107" s="92"/>
      <c r="E107" s="92"/>
      <c r="F107" s="451">
        <f t="shared" si="5"/>
        <v>0</v>
      </c>
    </row>
    <row r="108" spans="1:6" ht="15.75">
      <c r="A108" s="660">
        <v>10</v>
      </c>
      <c r="B108" s="661"/>
      <c r="C108" s="92"/>
      <c r="D108" s="92"/>
      <c r="E108" s="92"/>
      <c r="F108" s="451">
        <f t="shared" si="5"/>
        <v>0</v>
      </c>
    </row>
    <row r="109" spans="1:6" ht="15.75">
      <c r="A109" s="660">
        <v>11</v>
      </c>
      <c r="B109" s="661"/>
      <c r="C109" s="92"/>
      <c r="D109" s="92"/>
      <c r="E109" s="92"/>
      <c r="F109" s="451">
        <f t="shared" si="5"/>
        <v>0</v>
      </c>
    </row>
    <row r="110" spans="1:6" ht="15.75">
      <c r="A110" s="660">
        <v>12</v>
      </c>
      <c r="B110" s="661"/>
      <c r="C110" s="92"/>
      <c r="D110" s="92"/>
      <c r="E110" s="92"/>
      <c r="F110" s="451">
        <f t="shared" si="5"/>
        <v>0</v>
      </c>
    </row>
    <row r="111" spans="1:6" ht="15.75">
      <c r="A111" s="660">
        <v>13</v>
      </c>
      <c r="B111" s="661"/>
      <c r="C111" s="92"/>
      <c r="D111" s="92"/>
      <c r="E111" s="92"/>
      <c r="F111" s="451">
        <f t="shared" si="5"/>
        <v>0</v>
      </c>
    </row>
    <row r="112" spans="1:6" ht="15.75">
      <c r="A112" s="660">
        <v>14</v>
      </c>
      <c r="B112" s="661"/>
      <c r="C112" s="92"/>
      <c r="D112" s="92"/>
      <c r="E112" s="92"/>
      <c r="F112" s="451">
        <f t="shared" si="5"/>
        <v>0</v>
      </c>
    </row>
    <row r="113" spans="1:6" ht="15.75">
      <c r="A113" s="660">
        <v>15</v>
      </c>
      <c r="B113" s="661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0">
        <v>1</v>
      </c>
      <c r="B116" s="661"/>
      <c r="C116" s="92"/>
      <c r="D116" s="92"/>
      <c r="E116" s="92"/>
      <c r="F116" s="451">
        <f>C116-E116</f>
        <v>0</v>
      </c>
    </row>
    <row r="117" spans="1:6" ht="15.75">
      <c r="A117" s="660">
        <v>2</v>
      </c>
      <c r="B117" s="661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0">
        <v>3</v>
      </c>
      <c r="B118" s="661"/>
      <c r="C118" s="92"/>
      <c r="D118" s="92"/>
      <c r="E118" s="92"/>
      <c r="F118" s="451">
        <f t="shared" si="6"/>
        <v>0</v>
      </c>
    </row>
    <row r="119" spans="1:6" ht="15.75">
      <c r="A119" s="660">
        <v>4</v>
      </c>
      <c r="B119" s="661"/>
      <c r="C119" s="92"/>
      <c r="D119" s="92"/>
      <c r="E119" s="92"/>
      <c r="F119" s="451">
        <f t="shared" si="6"/>
        <v>0</v>
      </c>
    </row>
    <row r="120" spans="1:6" ht="15.75">
      <c r="A120" s="660">
        <v>5</v>
      </c>
      <c r="B120" s="661"/>
      <c r="C120" s="92"/>
      <c r="D120" s="92"/>
      <c r="E120" s="92"/>
      <c r="F120" s="451">
        <f t="shared" si="6"/>
        <v>0</v>
      </c>
    </row>
    <row r="121" spans="1:6" ht="15.75">
      <c r="A121" s="660">
        <v>6</v>
      </c>
      <c r="B121" s="661"/>
      <c r="C121" s="92"/>
      <c r="D121" s="92"/>
      <c r="E121" s="92"/>
      <c r="F121" s="451">
        <f t="shared" si="6"/>
        <v>0</v>
      </c>
    </row>
    <row r="122" spans="1:6" ht="15.75">
      <c r="A122" s="660">
        <v>7</v>
      </c>
      <c r="B122" s="661"/>
      <c r="C122" s="92"/>
      <c r="D122" s="92"/>
      <c r="E122" s="92"/>
      <c r="F122" s="451">
        <f t="shared" si="6"/>
        <v>0</v>
      </c>
    </row>
    <row r="123" spans="1:6" ht="15.75">
      <c r="A123" s="660">
        <v>8</v>
      </c>
      <c r="B123" s="661"/>
      <c r="C123" s="92"/>
      <c r="D123" s="92"/>
      <c r="E123" s="92"/>
      <c r="F123" s="451">
        <f t="shared" si="6"/>
        <v>0</v>
      </c>
    </row>
    <row r="124" spans="1:6" ht="15.75">
      <c r="A124" s="660">
        <v>9</v>
      </c>
      <c r="B124" s="661"/>
      <c r="C124" s="92"/>
      <c r="D124" s="92"/>
      <c r="E124" s="92"/>
      <c r="F124" s="451">
        <f t="shared" si="6"/>
        <v>0</v>
      </c>
    </row>
    <row r="125" spans="1:6" ht="15.75">
      <c r="A125" s="660">
        <v>10</v>
      </c>
      <c r="B125" s="661"/>
      <c r="C125" s="92"/>
      <c r="D125" s="92"/>
      <c r="E125" s="92"/>
      <c r="F125" s="451">
        <f t="shared" si="6"/>
        <v>0</v>
      </c>
    </row>
    <row r="126" spans="1:6" ht="15.75">
      <c r="A126" s="660">
        <v>11</v>
      </c>
      <c r="B126" s="661"/>
      <c r="C126" s="92"/>
      <c r="D126" s="92"/>
      <c r="E126" s="92"/>
      <c r="F126" s="451">
        <f t="shared" si="6"/>
        <v>0</v>
      </c>
    </row>
    <row r="127" spans="1:6" ht="15.75">
      <c r="A127" s="660">
        <v>12</v>
      </c>
      <c r="B127" s="661"/>
      <c r="C127" s="92"/>
      <c r="D127" s="92"/>
      <c r="E127" s="92"/>
      <c r="F127" s="451">
        <f t="shared" si="6"/>
        <v>0</v>
      </c>
    </row>
    <row r="128" spans="1:6" ht="15.75">
      <c r="A128" s="660">
        <v>13</v>
      </c>
      <c r="B128" s="661"/>
      <c r="C128" s="92"/>
      <c r="D128" s="92"/>
      <c r="E128" s="92"/>
      <c r="F128" s="451">
        <f t="shared" si="6"/>
        <v>0</v>
      </c>
    </row>
    <row r="129" spans="1:6" ht="15.75">
      <c r="A129" s="660">
        <v>14</v>
      </c>
      <c r="B129" s="661"/>
      <c r="C129" s="92"/>
      <c r="D129" s="92"/>
      <c r="E129" s="92"/>
      <c r="F129" s="451">
        <f t="shared" si="6"/>
        <v>0</v>
      </c>
    </row>
    <row r="130" spans="1:6" ht="15.75">
      <c r="A130" s="660">
        <v>15</v>
      </c>
      <c r="B130" s="661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0">
        <v>1</v>
      </c>
      <c r="B133" s="661"/>
      <c r="C133" s="92"/>
      <c r="D133" s="92"/>
      <c r="E133" s="92"/>
      <c r="F133" s="451">
        <f>C133-E133</f>
        <v>0</v>
      </c>
    </row>
    <row r="134" spans="1:6" ht="15.75">
      <c r="A134" s="660">
        <v>2</v>
      </c>
      <c r="B134" s="661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0">
        <v>3</v>
      </c>
      <c r="B135" s="661"/>
      <c r="C135" s="92"/>
      <c r="D135" s="92"/>
      <c r="E135" s="92"/>
      <c r="F135" s="451">
        <f t="shared" si="7"/>
        <v>0</v>
      </c>
    </row>
    <row r="136" spans="1:6" ht="15.75">
      <c r="A136" s="660">
        <v>4</v>
      </c>
      <c r="B136" s="661"/>
      <c r="C136" s="92"/>
      <c r="D136" s="92"/>
      <c r="E136" s="92"/>
      <c r="F136" s="451">
        <f t="shared" si="7"/>
        <v>0</v>
      </c>
    </row>
    <row r="137" spans="1:6" ht="15.75">
      <c r="A137" s="660">
        <v>5</v>
      </c>
      <c r="B137" s="661"/>
      <c r="C137" s="92"/>
      <c r="D137" s="92"/>
      <c r="E137" s="92"/>
      <c r="F137" s="451">
        <f t="shared" si="7"/>
        <v>0</v>
      </c>
    </row>
    <row r="138" spans="1:6" ht="15.75">
      <c r="A138" s="660">
        <v>6</v>
      </c>
      <c r="B138" s="661"/>
      <c r="C138" s="92"/>
      <c r="D138" s="92"/>
      <c r="E138" s="92"/>
      <c r="F138" s="451">
        <f t="shared" si="7"/>
        <v>0</v>
      </c>
    </row>
    <row r="139" spans="1:6" ht="15.75">
      <c r="A139" s="660">
        <v>7</v>
      </c>
      <c r="B139" s="661"/>
      <c r="C139" s="92"/>
      <c r="D139" s="92"/>
      <c r="E139" s="92"/>
      <c r="F139" s="451">
        <f t="shared" si="7"/>
        <v>0</v>
      </c>
    </row>
    <row r="140" spans="1:6" ht="15.75">
      <c r="A140" s="660">
        <v>8</v>
      </c>
      <c r="B140" s="661"/>
      <c r="C140" s="92"/>
      <c r="D140" s="92"/>
      <c r="E140" s="92"/>
      <c r="F140" s="451">
        <f t="shared" si="7"/>
        <v>0</v>
      </c>
    </row>
    <row r="141" spans="1:6" ht="15.75">
      <c r="A141" s="660">
        <v>9</v>
      </c>
      <c r="B141" s="661"/>
      <c r="C141" s="92"/>
      <c r="D141" s="92"/>
      <c r="E141" s="92"/>
      <c r="F141" s="451">
        <f t="shared" si="7"/>
        <v>0</v>
      </c>
    </row>
    <row r="142" spans="1:6" ht="15.75">
      <c r="A142" s="660">
        <v>10</v>
      </c>
      <c r="B142" s="661"/>
      <c r="C142" s="92"/>
      <c r="D142" s="92"/>
      <c r="E142" s="92"/>
      <c r="F142" s="451">
        <f t="shared" si="7"/>
        <v>0</v>
      </c>
    </row>
    <row r="143" spans="1:6" ht="15.75">
      <c r="A143" s="660">
        <v>11</v>
      </c>
      <c r="B143" s="661"/>
      <c r="C143" s="92"/>
      <c r="D143" s="92"/>
      <c r="E143" s="92"/>
      <c r="F143" s="451">
        <f t="shared" si="7"/>
        <v>0</v>
      </c>
    </row>
    <row r="144" spans="1:6" ht="15.75">
      <c r="A144" s="660">
        <v>12</v>
      </c>
      <c r="B144" s="661"/>
      <c r="C144" s="92"/>
      <c r="D144" s="92"/>
      <c r="E144" s="92"/>
      <c r="F144" s="451">
        <f t="shared" si="7"/>
        <v>0</v>
      </c>
    </row>
    <row r="145" spans="1:6" ht="15.75">
      <c r="A145" s="660">
        <v>13</v>
      </c>
      <c r="B145" s="661"/>
      <c r="C145" s="92"/>
      <c r="D145" s="92"/>
      <c r="E145" s="92"/>
      <c r="F145" s="451">
        <f t="shared" si="7"/>
        <v>0</v>
      </c>
    </row>
    <row r="146" spans="1:6" ht="15.75">
      <c r="A146" s="660">
        <v>14</v>
      </c>
      <c r="B146" s="661"/>
      <c r="C146" s="92"/>
      <c r="D146" s="92"/>
      <c r="E146" s="92"/>
      <c r="F146" s="451">
        <f t="shared" si="7"/>
        <v>0</v>
      </c>
    </row>
    <row r="147" spans="1:6" ht="15.75">
      <c r="A147" s="660">
        <v>15</v>
      </c>
      <c r="B147" s="661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5" t="s">
        <v>977</v>
      </c>
      <c r="B151" s="698">
        <f>pdeReportingDate</f>
        <v>45131</v>
      </c>
      <c r="C151" s="698"/>
      <c r="D151" s="698"/>
      <c r="E151" s="698"/>
      <c r="F151" s="698"/>
      <c r="G151" s="698"/>
      <c r="H151" s="698"/>
    </row>
    <row r="152" spans="1:8" ht="15.75">
      <c r="A152" s="675"/>
      <c r="B152" s="52"/>
      <c r="C152" s="52"/>
      <c r="D152" s="52"/>
      <c r="E152" s="52"/>
      <c r="F152" s="52"/>
      <c r="G152" s="52"/>
      <c r="H152" s="52"/>
    </row>
    <row r="153" spans="1:8" ht="15.75">
      <c r="A153" s="676" t="s">
        <v>8</v>
      </c>
      <c r="B153" s="699" t="str">
        <f>authorName</f>
        <v>Людмила Стамова</v>
      </c>
      <c r="C153" s="699"/>
      <c r="D153" s="699"/>
      <c r="E153" s="699"/>
      <c r="F153" s="699"/>
      <c r="G153" s="699"/>
      <c r="H153" s="699"/>
    </row>
    <row r="154" spans="1:8" ht="15.75">
      <c r="A154" s="676"/>
      <c r="B154" s="80"/>
      <c r="C154" s="80"/>
      <c r="D154" s="80"/>
      <c r="E154" s="80"/>
      <c r="F154" s="80"/>
      <c r="G154" s="80"/>
      <c r="H154" s="80"/>
    </row>
    <row r="155" spans="1:8" ht="15.75">
      <c r="A155" s="676" t="s">
        <v>920</v>
      </c>
      <c r="B155" s="700"/>
      <c r="C155" s="700"/>
      <c r="D155" s="700"/>
      <c r="E155" s="700"/>
      <c r="F155" s="700"/>
      <c r="G155" s="700"/>
      <c r="H155" s="700"/>
    </row>
    <row r="156" spans="1:8" ht="15.75" customHeight="1">
      <c r="A156" s="677"/>
      <c r="B156" s="697" t="s">
        <v>1000</v>
      </c>
      <c r="C156" s="697"/>
      <c r="D156" s="697"/>
      <c r="E156" s="697"/>
      <c r="F156" s="556"/>
      <c r="G156" s="45"/>
      <c r="H156" s="42"/>
    </row>
    <row r="157" spans="1:8" ht="15.75">
      <c r="A157" s="677"/>
      <c r="B157" s="697" t="s">
        <v>979</v>
      </c>
      <c r="C157" s="697"/>
      <c r="D157" s="697"/>
      <c r="E157" s="697"/>
      <c r="F157" s="556"/>
      <c r="G157" s="45"/>
      <c r="H157" s="42"/>
    </row>
    <row r="158" spans="1:8" ht="15.75">
      <c r="A158" s="677"/>
      <c r="B158" s="697" t="s">
        <v>979</v>
      </c>
      <c r="C158" s="697"/>
      <c r="D158" s="697"/>
      <c r="E158" s="697"/>
      <c r="F158" s="556"/>
      <c r="G158" s="45"/>
      <c r="H158" s="42"/>
    </row>
    <row r="159" spans="1:8" ht="15.75">
      <c r="A159" s="677"/>
      <c r="B159" s="697" t="s">
        <v>979</v>
      </c>
      <c r="C159" s="697"/>
      <c r="D159" s="697"/>
      <c r="E159" s="697"/>
      <c r="F159" s="556"/>
      <c r="G159" s="45"/>
      <c r="H159" s="42"/>
    </row>
    <row r="160" spans="1:8" ht="15.75">
      <c r="A160" s="677"/>
      <c r="B160" s="697"/>
      <c r="C160" s="697"/>
      <c r="D160" s="697"/>
      <c r="E160" s="697"/>
      <c r="F160" s="556"/>
      <c r="G160" s="45"/>
      <c r="H160" s="42"/>
    </row>
    <row r="161" spans="1:8" ht="15.75">
      <c r="A161" s="677"/>
      <c r="B161" s="697"/>
      <c r="C161" s="697"/>
      <c r="D161" s="697"/>
      <c r="E161" s="697"/>
      <c r="F161" s="556"/>
      <c r="G161" s="45"/>
      <c r="H161" s="42"/>
    </row>
    <row r="162" spans="1:8" ht="15.75">
      <c r="A162" s="677"/>
      <c r="B162" s="697"/>
      <c r="C162" s="697"/>
      <c r="D162" s="697"/>
      <c r="E162" s="697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233"/>
  <sheetViews>
    <sheetView zoomScale="60" zoomScaleNormal="60" zoomScaleSheetLayoutView="80" zoomScalePageLayoutView="0" workbookViewId="0" topLeftCell="B7">
      <selection activeCell="U42" sqref="U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9" width="12.8515625" style="39" customWidth="1"/>
    <col min="20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8" t="s">
        <v>453</v>
      </c>
      <c r="B7" s="719"/>
      <c r="C7" s="722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4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4" t="s">
        <v>513</v>
      </c>
      <c r="R7" s="716" t="s">
        <v>514</v>
      </c>
    </row>
    <row r="8" spans="1:18" s="128" customFormat="1" ht="90.75" customHeight="1">
      <c r="A8" s="720"/>
      <c r="B8" s="721"/>
      <c r="C8" s="723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5"/>
      <c r="R8" s="717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20" ht="15.75">
      <c r="A11" s="327" t="s">
        <v>521</v>
      </c>
      <c r="B11" s="318" t="s">
        <v>522</v>
      </c>
      <c r="C11" s="152" t="s">
        <v>523</v>
      </c>
      <c r="D11" s="324">
        <v>14509</v>
      </c>
      <c r="E11" s="324"/>
      <c r="F11" s="324">
        <v>6</v>
      </c>
      <c r="G11" s="682">
        <f>D11+E11-F11</f>
        <v>14503</v>
      </c>
      <c r="H11" s="324"/>
      <c r="I11" s="324"/>
      <c r="J11" s="693">
        <f>G11+H11-I11</f>
        <v>14503</v>
      </c>
      <c r="K11" s="324">
        <v>0</v>
      </c>
      <c r="L11" s="324"/>
      <c r="M11" s="324"/>
      <c r="N11" s="682">
        <f>K11+L11-M11</f>
        <v>0</v>
      </c>
      <c r="O11" s="324"/>
      <c r="P11" s="324"/>
      <c r="Q11" s="682">
        <f aca="true" t="shared" si="0" ref="Q11:Q26">N11+O11-P11</f>
        <v>0</v>
      </c>
      <c r="R11" s="683">
        <f aca="true" t="shared" si="1" ref="R11:R26">J11-Q11</f>
        <v>14503</v>
      </c>
      <c r="T11" s="694"/>
    </row>
    <row r="12" spans="1:20" ht="15.75">
      <c r="A12" s="327" t="s">
        <v>524</v>
      </c>
      <c r="B12" s="318" t="s">
        <v>525</v>
      </c>
      <c r="C12" s="152" t="s">
        <v>526</v>
      </c>
      <c r="D12" s="324">
        <v>15097</v>
      </c>
      <c r="E12" s="324"/>
      <c r="F12" s="324">
        <v>37</v>
      </c>
      <c r="G12" s="682">
        <f aca="true" t="shared" si="2" ref="G12:G41">D12+E12-F12</f>
        <v>15060</v>
      </c>
      <c r="H12" s="324"/>
      <c r="I12" s="324"/>
      <c r="J12" s="693">
        <f aca="true" t="shared" si="3" ref="J12:J18">G12+H12-I12</f>
        <v>15060</v>
      </c>
      <c r="K12" s="324">
        <v>9522</v>
      </c>
      <c r="L12" s="324">
        <v>225</v>
      </c>
      <c r="M12" s="324">
        <v>37</v>
      </c>
      <c r="N12" s="682">
        <f aca="true" t="shared" si="4" ref="N12:N41">K12+L12-M12</f>
        <v>9710</v>
      </c>
      <c r="O12" s="324"/>
      <c r="P12" s="324"/>
      <c r="Q12" s="682">
        <f t="shared" si="0"/>
        <v>9710</v>
      </c>
      <c r="R12" s="683">
        <f t="shared" si="1"/>
        <v>5350</v>
      </c>
      <c r="T12" s="694"/>
    </row>
    <row r="13" spans="1:20" ht="15.75">
      <c r="A13" s="327" t="s">
        <v>527</v>
      </c>
      <c r="B13" s="318" t="s">
        <v>528</v>
      </c>
      <c r="C13" s="152" t="s">
        <v>529</v>
      </c>
      <c r="D13" s="324">
        <v>5459</v>
      </c>
      <c r="E13" s="324">
        <v>42</v>
      </c>
      <c r="F13" s="324">
        <v>329</v>
      </c>
      <c r="G13" s="682">
        <f t="shared" si="2"/>
        <v>5172</v>
      </c>
      <c r="H13" s="324"/>
      <c r="I13" s="324"/>
      <c r="J13" s="693">
        <f t="shared" si="3"/>
        <v>5172</v>
      </c>
      <c r="K13" s="324">
        <v>4738</v>
      </c>
      <c r="L13" s="324">
        <v>121</v>
      </c>
      <c r="M13" s="324">
        <v>315</v>
      </c>
      <c r="N13" s="682">
        <f t="shared" si="4"/>
        <v>4544</v>
      </c>
      <c r="O13" s="324"/>
      <c r="P13" s="324"/>
      <c r="Q13" s="682">
        <f t="shared" si="0"/>
        <v>4544</v>
      </c>
      <c r="R13" s="683">
        <f t="shared" si="1"/>
        <v>628</v>
      </c>
      <c r="T13" s="694"/>
    </row>
    <row r="14" spans="1:20" ht="15.75">
      <c r="A14" s="327" t="s">
        <v>530</v>
      </c>
      <c r="B14" s="318" t="s">
        <v>531</v>
      </c>
      <c r="C14" s="152" t="s">
        <v>532</v>
      </c>
      <c r="D14" s="324">
        <v>16707</v>
      </c>
      <c r="E14" s="324">
        <v>18</v>
      </c>
      <c r="F14" s="324">
        <v>1035</v>
      </c>
      <c r="G14" s="682">
        <f t="shared" si="2"/>
        <v>15690</v>
      </c>
      <c r="H14" s="324"/>
      <c r="I14" s="324"/>
      <c r="J14" s="693">
        <f t="shared" si="3"/>
        <v>15690</v>
      </c>
      <c r="K14" s="324">
        <v>11235</v>
      </c>
      <c r="L14" s="324">
        <v>216</v>
      </c>
      <c r="M14" s="324">
        <v>868</v>
      </c>
      <c r="N14" s="682">
        <f t="shared" si="4"/>
        <v>10583</v>
      </c>
      <c r="O14" s="324"/>
      <c r="P14" s="324"/>
      <c r="Q14" s="682">
        <f t="shared" si="0"/>
        <v>10583</v>
      </c>
      <c r="R14" s="683">
        <f t="shared" si="1"/>
        <v>5107</v>
      </c>
      <c r="T14" s="694"/>
    </row>
    <row r="15" spans="1:20" ht="15.75">
      <c r="A15" s="327" t="s">
        <v>533</v>
      </c>
      <c r="B15" s="318" t="s">
        <v>534</v>
      </c>
      <c r="C15" s="152" t="s">
        <v>535</v>
      </c>
      <c r="D15" s="324">
        <v>14630</v>
      </c>
      <c r="E15" s="324">
        <v>5038</v>
      </c>
      <c r="F15" s="324">
        <v>5984</v>
      </c>
      <c r="G15" s="682">
        <f t="shared" si="2"/>
        <v>13684</v>
      </c>
      <c r="H15" s="324"/>
      <c r="I15" s="324"/>
      <c r="J15" s="693">
        <f t="shared" si="3"/>
        <v>13684</v>
      </c>
      <c r="K15" s="324">
        <v>12557</v>
      </c>
      <c r="L15" s="324">
        <v>222</v>
      </c>
      <c r="M15" s="324">
        <v>420</v>
      </c>
      <c r="N15" s="682">
        <f t="shared" si="4"/>
        <v>12359</v>
      </c>
      <c r="O15" s="324"/>
      <c r="P15" s="324"/>
      <c r="Q15" s="682">
        <f t="shared" si="0"/>
        <v>12359</v>
      </c>
      <c r="R15" s="683">
        <f t="shared" si="1"/>
        <v>1325</v>
      </c>
      <c r="T15" s="694"/>
    </row>
    <row r="16" spans="1:20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2">
        <f t="shared" si="2"/>
        <v>0</v>
      </c>
      <c r="H16" s="324"/>
      <c r="I16" s="324"/>
      <c r="J16" s="693">
        <f t="shared" si="3"/>
        <v>0</v>
      </c>
      <c r="K16" s="324">
        <v>0</v>
      </c>
      <c r="L16" s="324"/>
      <c r="M16" s="324"/>
      <c r="N16" s="682">
        <f t="shared" si="4"/>
        <v>0</v>
      </c>
      <c r="O16" s="324"/>
      <c r="P16" s="324"/>
      <c r="Q16" s="682">
        <f t="shared" si="0"/>
        <v>0</v>
      </c>
      <c r="R16" s="683">
        <f t="shared" si="1"/>
        <v>0</v>
      </c>
      <c r="T16" s="694"/>
    </row>
    <row r="17" spans="1:20" s="154" customFormat="1" ht="31.5">
      <c r="A17" s="327" t="s">
        <v>538</v>
      </c>
      <c r="B17" s="155" t="s">
        <v>539</v>
      </c>
      <c r="C17" s="153" t="s">
        <v>540</v>
      </c>
      <c r="D17" s="324">
        <v>458</v>
      </c>
      <c r="E17" s="324">
        <v>1510</v>
      </c>
      <c r="F17" s="324">
        <v>941</v>
      </c>
      <c r="G17" s="682">
        <f t="shared" si="2"/>
        <v>1027</v>
      </c>
      <c r="H17" s="324"/>
      <c r="I17" s="324"/>
      <c r="J17" s="693">
        <f t="shared" si="3"/>
        <v>1027</v>
      </c>
      <c r="K17" s="324">
        <v>0</v>
      </c>
      <c r="L17" s="324"/>
      <c r="M17" s="324"/>
      <c r="N17" s="682">
        <f t="shared" si="4"/>
        <v>0</v>
      </c>
      <c r="O17" s="324"/>
      <c r="P17" s="324"/>
      <c r="Q17" s="682">
        <f t="shared" si="0"/>
        <v>0</v>
      </c>
      <c r="R17" s="683">
        <f t="shared" si="1"/>
        <v>1027</v>
      </c>
      <c r="T17" s="694"/>
    </row>
    <row r="18" spans="1:20" ht="15.75">
      <c r="A18" s="327" t="s">
        <v>541</v>
      </c>
      <c r="B18" s="155" t="s">
        <v>542</v>
      </c>
      <c r="C18" s="152" t="s">
        <v>543</v>
      </c>
      <c r="D18" s="324">
        <v>3182</v>
      </c>
      <c r="E18" s="324">
        <v>86</v>
      </c>
      <c r="F18" s="324">
        <v>56</v>
      </c>
      <c r="G18" s="682">
        <f t="shared" si="2"/>
        <v>3212</v>
      </c>
      <c r="H18" s="324"/>
      <c r="I18" s="324"/>
      <c r="J18" s="693">
        <f t="shared" si="3"/>
        <v>3212</v>
      </c>
      <c r="K18" s="324">
        <v>2717</v>
      </c>
      <c r="L18" s="324">
        <v>138</v>
      </c>
      <c r="M18" s="324">
        <v>47</v>
      </c>
      <c r="N18" s="682">
        <f t="shared" si="4"/>
        <v>2808</v>
      </c>
      <c r="O18" s="324"/>
      <c r="P18" s="324"/>
      <c r="Q18" s="682">
        <f t="shared" si="0"/>
        <v>2808</v>
      </c>
      <c r="R18" s="683">
        <f t="shared" si="1"/>
        <v>404</v>
      </c>
      <c r="T18" s="694"/>
    </row>
    <row r="19" spans="1:18" ht="15.75">
      <c r="A19" s="327"/>
      <c r="B19" s="319" t="s">
        <v>544</v>
      </c>
      <c r="C19" s="156" t="s">
        <v>545</v>
      </c>
      <c r="D19" s="684">
        <v>70042</v>
      </c>
      <c r="E19" s="684">
        <f aca="true" t="shared" si="5" ref="E19:R19">SUM(E11:E18)</f>
        <v>6694</v>
      </c>
      <c r="F19" s="684">
        <f t="shared" si="5"/>
        <v>8388</v>
      </c>
      <c r="G19" s="684">
        <f t="shared" si="5"/>
        <v>68348</v>
      </c>
      <c r="H19" s="684">
        <f t="shared" si="5"/>
        <v>0</v>
      </c>
      <c r="I19" s="684">
        <f t="shared" si="5"/>
        <v>0</v>
      </c>
      <c r="J19" s="684">
        <f t="shared" si="5"/>
        <v>68348</v>
      </c>
      <c r="K19" s="684">
        <v>40769</v>
      </c>
      <c r="L19" s="684">
        <f t="shared" si="5"/>
        <v>922</v>
      </c>
      <c r="M19" s="684">
        <f t="shared" si="5"/>
        <v>1687</v>
      </c>
      <c r="N19" s="684">
        <f t="shared" si="5"/>
        <v>40004</v>
      </c>
      <c r="O19" s="684">
        <f t="shared" si="5"/>
        <v>0</v>
      </c>
      <c r="P19" s="684">
        <f t="shared" si="5"/>
        <v>0</v>
      </c>
      <c r="Q19" s="684">
        <f t="shared" si="5"/>
        <v>40004</v>
      </c>
      <c r="R19" s="684">
        <f t="shared" si="5"/>
        <v>28344</v>
      </c>
    </row>
    <row r="20" spans="1:18" ht="15.75">
      <c r="A20" s="328" t="s">
        <v>840</v>
      </c>
      <c r="B20" s="320" t="s">
        <v>546</v>
      </c>
      <c r="C20" s="156" t="s">
        <v>547</v>
      </c>
      <c r="D20" s="324">
        <v>28084</v>
      </c>
      <c r="E20" s="324"/>
      <c r="F20" s="324">
        <v>839</v>
      </c>
      <c r="G20" s="682">
        <f t="shared" si="2"/>
        <v>27245</v>
      </c>
      <c r="H20" s="324"/>
      <c r="I20" s="324"/>
      <c r="J20" s="682">
        <f aca="true" t="shared" si="6" ref="J20:J41">G20+H20-I20</f>
        <v>27245</v>
      </c>
      <c r="K20" s="324">
        <v>0</v>
      </c>
      <c r="L20" s="324"/>
      <c r="M20" s="324"/>
      <c r="N20" s="682">
        <f t="shared" si="4"/>
        <v>0</v>
      </c>
      <c r="O20" s="324"/>
      <c r="P20" s="324"/>
      <c r="Q20" s="682">
        <f t="shared" si="0"/>
        <v>0</v>
      </c>
      <c r="R20" s="683">
        <f t="shared" si="1"/>
        <v>27245</v>
      </c>
    </row>
    <row r="21" spans="1:18" ht="15.75">
      <c r="A21" s="326" t="s">
        <v>829</v>
      </c>
      <c r="B21" s="320" t="s">
        <v>548</v>
      </c>
      <c r="C21" s="156" t="s">
        <v>549</v>
      </c>
      <c r="D21" s="324"/>
      <c r="E21" s="324"/>
      <c r="F21" s="324"/>
      <c r="G21" s="682">
        <f t="shared" si="2"/>
        <v>0</v>
      </c>
      <c r="H21" s="324"/>
      <c r="I21" s="324"/>
      <c r="J21" s="682">
        <f t="shared" si="6"/>
        <v>0</v>
      </c>
      <c r="K21" s="324">
        <v>0</v>
      </c>
      <c r="L21" s="324"/>
      <c r="M21" s="324"/>
      <c r="N21" s="682">
        <f t="shared" si="4"/>
        <v>0</v>
      </c>
      <c r="O21" s="324"/>
      <c r="P21" s="324"/>
      <c r="Q21" s="682">
        <f t="shared" si="0"/>
        <v>0</v>
      </c>
      <c r="R21" s="683">
        <f t="shared" si="1"/>
        <v>0</v>
      </c>
    </row>
    <row r="22" spans="1:18" ht="15.75">
      <c r="A22" s="326" t="s">
        <v>550</v>
      </c>
      <c r="B22" s="317" t="s">
        <v>551</v>
      </c>
      <c r="C22" s="152"/>
      <c r="D22" s="685">
        <v>0</v>
      </c>
      <c r="E22" s="685"/>
      <c r="F22" s="685"/>
      <c r="G22" s="682">
        <f t="shared" si="2"/>
        <v>0</v>
      </c>
      <c r="H22" s="685"/>
      <c r="I22" s="685"/>
      <c r="J22" s="682">
        <f t="shared" si="6"/>
        <v>0</v>
      </c>
      <c r="K22" s="685">
        <v>0</v>
      </c>
      <c r="L22" s="685"/>
      <c r="M22" s="685"/>
      <c r="N22" s="682">
        <f t="shared" si="4"/>
        <v>0</v>
      </c>
      <c r="O22" s="685"/>
      <c r="P22" s="685"/>
      <c r="Q22" s="682">
        <f t="shared" si="0"/>
        <v>0</v>
      </c>
      <c r="R22" s="683">
        <f t="shared" si="1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9286</v>
      </c>
      <c r="E23" s="324">
        <v>773</v>
      </c>
      <c r="F23" s="324">
        <v>5022</v>
      </c>
      <c r="G23" s="682">
        <f t="shared" si="2"/>
        <v>5037</v>
      </c>
      <c r="H23" s="324"/>
      <c r="I23" s="324"/>
      <c r="J23" s="682">
        <f t="shared" si="6"/>
        <v>5037</v>
      </c>
      <c r="K23" s="324">
        <v>6182</v>
      </c>
      <c r="L23" s="324">
        <v>617</v>
      </c>
      <c r="M23" s="324">
        <v>4874</v>
      </c>
      <c r="N23" s="682">
        <f t="shared" si="4"/>
        <v>1925</v>
      </c>
      <c r="O23" s="324"/>
      <c r="P23" s="324"/>
      <c r="Q23" s="682">
        <f t="shared" si="0"/>
        <v>1925</v>
      </c>
      <c r="R23" s="683">
        <f t="shared" si="1"/>
        <v>3112</v>
      </c>
    </row>
    <row r="24" spans="1:18" ht="15.75">
      <c r="A24" s="327" t="s">
        <v>524</v>
      </c>
      <c r="B24" s="318" t="s">
        <v>554</v>
      </c>
      <c r="C24" s="152" t="s">
        <v>555</v>
      </c>
      <c r="D24" s="324">
        <v>1369</v>
      </c>
      <c r="E24" s="324"/>
      <c r="F24" s="324">
        <v>44</v>
      </c>
      <c r="G24" s="682">
        <f t="shared" si="2"/>
        <v>1325</v>
      </c>
      <c r="H24" s="324"/>
      <c r="I24" s="324"/>
      <c r="J24" s="682">
        <f t="shared" si="6"/>
        <v>1325</v>
      </c>
      <c r="K24" s="324">
        <v>1342</v>
      </c>
      <c r="L24" s="324">
        <v>12</v>
      </c>
      <c r="M24" s="324">
        <v>36</v>
      </c>
      <c r="N24" s="682">
        <f t="shared" si="4"/>
        <v>1318</v>
      </c>
      <c r="O24" s="324"/>
      <c r="P24" s="324"/>
      <c r="Q24" s="682">
        <f t="shared" si="0"/>
        <v>1318</v>
      </c>
      <c r="R24" s="683">
        <f t="shared" si="1"/>
        <v>7</v>
      </c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2">
        <f t="shared" si="2"/>
        <v>0</v>
      </c>
      <c r="H25" s="324"/>
      <c r="I25" s="324"/>
      <c r="J25" s="682">
        <f t="shared" si="6"/>
        <v>0</v>
      </c>
      <c r="K25" s="324">
        <v>0</v>
      </c>
      <c r="L25" s="324"/>
      <c r="M25" s="324"/>
      <c r="N25" s="682">
        <f t="shared" si="4"/>
        <v>0</v>
      </c>
      <c r="O25" s="324"/>
      <c r="P25" s="324"/>
      <c r="Q25" s="682">
        <f t="shared" si="0"/>
        <v>0</v>
      </c>
      <c r="R25" s="683">
        <f t="shared" si="1"/>
        <v>0</v>
      </c>
    </row>
    <row r="26" spans="1:18" ht="15.75">
      <c r="A26" s="327" t="s">
        <v>530</v>
      </c>
      <c r="B26" s="157" t="s">
        <v>542</v>
      </c>
      <c r="C26" s="152" t="s">
        <v>558</v>
      </c>
      <c r="D26" s="324">
        <v>179</v>
      </c>
      <c r="E26" s="324">
        <v>51</v>
      </c>
      <c r="F26" s="324">
        <v>42</v>
      </c>
      <c r="G26" s="682">
        <f t="shared" si="2"/>
        <v>188</v>
      </c>
      <c r="H26" s="324"/>
      <c r="I26" s="324"/>
      <c r="J26" s="682">
        <f t="shared" si="6"/>
        <v>188</v>
      </c>
      <c r="K26" s="324">
        <v>51</v>
      </c>
      <c r="L26" s="324">
        <v>23</v>
      </c>
      <c r="M26" s="324">
        <v>41</v>
      </c>
      <c r="N26" s="682">
        <f t="shared" si="4"/>
        <v>33</v>
      </c>
      <c r="O26" s="324"/>
      <c r="P26" s="324"/>
      <c r="Q26" s="682">
        <f t="shared" si="0"/>
        <v>33</v>
      </c>
      <c r="R26" s="683">
        <f t="shared" si="1"/>
        <v>155</v>
      </c>
    </row>
    <row r="27" spans="1:18" ht="15.75">
      <c r="A27" s="327"/>
      <c r="B27" s="319" t="s">
        <v>559</v>
      </c>
      <c r="C27" s="158" t="s">
        <v>560</v>
      </c>
      <c r="D27" s="686">
        <v>10834</v>
      </c>
      <c r="E27" s="686">
        <f aca="true" t="shared" si="7" ref="E27:R27">SUM(E22:E26)</f>
        <v>824</v>
      </c>
      <c r="F27" s="686">
        <f t="shared" si="7"/>
        <v>5108</v>
      </c>
      <c r="G27" s="686">
        <f t="shared" si="7"/>
        <v>6550</v>
      </c>
      <c r="H27" s="686">
        <f t="shared" si="7"/>
        <v>0</v>
      </c>
      <c r="I27" s="686">
        <f t="shared" si="7"/>
        <v>0</v>
      </c>
      <c r="J27" s="686">
        <f t="shared" si="7"/>
        <v>6550</v>
      </c>
      <c r="K27" s="686">
        <v>7575</v>
      </c>
      <c r="L27" s="686">
        <f t="shared" si="7"/>
        <v>652</v>
      </c>
      <c r="M27" s="686">
        <f t="shared" si="7"/>
        <v>4951</v>
      </c>
      <c r="N27" s="686">
        <f t="shared" si="7"/>
        <v>3276</v>
      </c>
      <c r="O27" s="686">
        <f t="shared" si="7"/>
        <v>0</v>
      </c>
      <c r="P27" s="686">
        <f t="shared" si="7"/>
        <v>0</v>
      </c>
      <c r="Q27" s="686">
        <f t="shared" si="7"/>
        <v>3276</v>
      </c>
      <c r="R27" s="686">
        <f t="shared" si="7"/>
        <v>3274</v>
      </c>
    </row>
    <row r="28" spans="1:18" ht="15.75">
      <c r="A28" s="326" t="s">
        <v>831</v>
      </c>
      <c r="B28" s="321" t="s">
        <v>827</v>
      </c>
      <c r="C28" s="159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8"/>
    </row>
    <row r="29" spans="1:18" ht="15.75">
      <c r="A29" s="327" t="s">
        <v>521</v>
      </c>
      <c r="B29" s="322" t="s">
        <v>561</v>
      </c>
      <c r="C29" s="160" t="s">
        <v>562</v>
      </c>
      <c r="D29" s="689">
        <f>D32</f>
        <v>2510</v>
      </c>
      <c r="E29" s="689">
        <f aca="true" t="shared" si="8" ref="E29:P29">SUM(E30:E33)</f>
        <v>0</v>
      </c>
      <c r="F29" s="689">
        <f t="shared" si="8"/>
        <v>0</v>
      </c>
      <c r="G29" s="690">
        <f t="shared" si="2"/>
        <v>2510</v>
      </c>
      <c r="H29" s="689">
        <f t="shared" si="8"/>
        <v>0</v>
      </c>
      <c r="I29" s="689">
        <f t="shared" si="8"/>
        <v>0</v>
      </c>
      <c r="J29" s="690">
        <f t="shared" si="6"/>
        <v>2510</v>
      </c>
      <c r="K29" s="689">
        <v>0</v>
      </c>
      <c r="L29" s="689">
        <f t="shared" si="8"/>
        <v>0</v>
      </c>
      <c r="M29" s="689">
        <f t="shared" si="8"/>
        <v>0</v>
      </c>
      <c r="N29" s="690">
        <f t="shared" si="4"/>
        <v>0</v>
      </c>
      <c r="O29" s="689">
        <f t="shared" si="8"/>
        <v>0</v>
      </c>
      <c r="P29" s="689">
        <f t="shared" si="8"/>
        <v>0</v>
      </c>
      <c r="Q29" s="690">
        <f>N29+O29-P29</f>
        <v>0</v>
      </c>
      <c r="R29" s="691">
        <f>J29-Q29</f>
        <v>2510</v>
      </c>
    </row>
    <row r="30" spans="1:18" ht="15.75">
      <c r="A30" s="327"/>
      <c r="B30" s="318" t="s">
        <v>108</v>
      </c>
      <c r="C30" s="152" t="s">
        <v>563</v>
      </c>
      <c r="D30" s="324"/>
      <c r="E30" s="324"/>
      <c r="F30" s="324"/>
      <c r="G30" s="682">
        <f t="shared" si="2"/>
        <v>0</v>
      </c>
      <c r="H30" s="324"/>
      <c r="I30" s="324"/>
      <c r="J30" s="682">
        <f t="shared" si="6"/>
        <v>0</v>
      </c>
      <c r="K30" s="324">
        <v>0</v>
      </c>
      <c r="L30" s="324"/>
      <c r="M30" s="324"/>
      <c r="N30" s="682">
        <f t="shared" si="4"/>
        <v>0</v>
      </c>
      <c r="O30" s="324"/>
      <c r="P30" s="324"/>
      <c r="Q30" s="682">
        <f aca="true" t="shared" si="9" ref="Q30:Q41">N30+O30-P30</f>
        <v>0</v>
      </c>
      <c r="R30" s="683">
        <f aca="true" t="shared" si="10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2">
        <f t="shared" si="2"/>
        <v>0</v>
      </c>
      <c r="H31" s="324"/>
      <c r="I31" s="324"/>
      <c r="J31" s="682">
        <f t="shared" si="6"/>
        <v>0</v>
      </c>
      <c r="K31" s="324">
        <v>0</v>
      </c>
      <c r="L31" s="324"/>
      <c r="M31" s="324"/>
      <c r="N31" s="682">
        <f t="shared" si="4"/>
        <v>0</v>
      </c>
      <c r="O31" s="324"/>
      <c r="P31" s="324"/>
      <c r="Q31" s="682">
        <f t="shared" si="9"/>
        <v>0</v>
      </c>
      <c r="R31" s="683">
        <f t="shared" si="10"/>
        <v>0</v>
      </c>
    </row>
    <row r="32" spans="1:18" ht="15.75">
      <c r="A32" s="327"/>
      <c r="B32" s="318" t="s">
        <v>113</v>
      </c>
      <c r="C32" s="152" t="s">
        <v>565</v>
      </c>
      <c r="D32" s="324">
        <v>2510</v>
      </c>
      <c r="E32" s="324"/>
      <c r="F32" s="324"/>
      <c r="G32" s="682">
        <f t="shared" si="2"/>
        <v>2510</v>
      </c>
      <c r="H32" s="324"/>
      <c r="I32" s="324"/>
      <c r="J32" s="682">
        <f t="shared" si="6"/>
        <v>2510</v>
      </c>
      <c r="K32" s="324">
        <v>0</v>
      </c>
      <c r="L32" s="324"/>
      <c r="M32" s="324"/>
      <c r="N32" s="682">
        <f t="shared" si="4"/>
        <v>0</v>
      </c>
      <c r="O32" s="324"/>
      <c r="P32" s="324"/>
      <c r="Q32" s="682">
        <f t="shared" si="9"/>
        <v>0</v>
      </c>
      <c r="R32" s="683">
        <f t="shared" si="10"/>
        <v>2510</v>
      </c>
    </row>
    <row r="33" spans="1:18" ht="15.75">
      <c r="A33" s="327"/>
      <c r="B33" s="318" t="s">
        <v>115</v>
      </c>
      <c r="C33" s="152" t="s">
        <v>566</v>
      </c>
      <c r="D33" s="324"/>
      <c r="E33" s="324"/>
      <c r="F33" s="324"/>
      <c r="G33" s="682">
        <f t="shared" si="2"/>
        <v>0</v>
      </c>
      <c r="H33" s="324"/>
      <c r="I33" s="324"/>
      <c r="J33" s="682">
        <f t="shared" si="6"/>
        <v>0</v>
      </c>
      <c r="K33" s="324">
        <v>0</v>
      </c>
      <c r="L33" s="324"/>
      <c r="M33" s="324"/>
      <c r="N33" s="682">
        <f t="shared" si="4"/>
        <v>0</v>
      </c>
      <c r="O33" s="324"/>
      <c r="P33" s="324"/>
      <c r="Q33" s="682">
        <f t="shared" si="9"/>
        <v>0</v>
      </c>
      <c r="R33" s="683">
        <f t="shared" si="10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5">
        <v>0</v>
      </c>
      <c r="E34" s="685">
        <f aca="true" t="shared" si="11" ref="E34:P34">SUM(E35:E38)</f>
        <v>0</v>
      </c>
      <c r="F34" s="685">
        <f t="shared" si="11"/>
        <v>0</v>
      </c>
      <c r="G34" s="682">
        <f t="shared" si="2"/>
        <v>0</v>
      </c>
      <c r="H34" s="685">
        <f t="shared" si="11"/>
        <v>0</v>
      </c>
      <c r="I34" s="685">
        <f t="shared" si="11"/>
        <v>0</v>
      </c>
      <c r="J34" s="682">
        <f t="shared" si="6"/>
        <v>0</v>
      </c>
      <c r="K34" s="685">
        <v>0</v>
      </c>
      <c r="L34" s="685">
        <f t="shared" si="11"/>
        <v>0</v>
      </c>
      <c r="M34" s="685">
        <f t="shared" si="11"/>
        <v>0</v>
      </c>
      <c r="N34" s="682">
        <f t="shared" si="4"/>
        <v>0</v>
      </c>
      <c r="O34" s="685">
        <f t="shared" si="11"/>
        <v>0</v>
      </c>
      <c r="P34" s="685">
        <f t="shared" si="11"/>
        <v>0</v>
      </c>
      <c r="Q34" s="682">
        <f t="shared" si="9"/>
        <v>0</v>
      </c>
      <c r="R34" s="683">
        <f t="shared" si="10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2">
        <f t="shared" si="2"/>
        <v>0</v>
      </c>
      <c r="H35" s="324"/>
      <c r="I35" s="324"/>
      <c r="J35" s="682">
        <f t="shared" si="6"/>
        <v>0</v>
      </c>
      <c r="K35" s="324">
        <v>0</v>
      </c>
      <c r="L35" s="324"/>
      <c r="M35" s="324"/>
      <c r="N35" s="682">
        <f t="shared" si="4"/>
        <v>0</v>
      </c>
      <c r="O35" s="324"/>
      <c r="P35" s="324"/>
      <c r="Q35" s="682">
        <f t="shared" si="9"/>
        <v>0</v>
      </c>
      <c r="R35" s="683">
        <f t="shared" si="10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2">
        <f t="shared" si="2"/>
        <v>0</v>
      </c>
      <c r="H36" s="324"/>
      <c r="I36" s="324"/>
      <c r="J36" s="682">
        <f t="shared" si="6"/>
        <v>0</v>
      </c>
      <c r="K36" s="324">
        <v>0</v>
      </c>
      <c r="L36" s="324"/>
      <c r="M36" s="324"/>
      <c r="N36" s="682">
        <f t="shared" si="4"/>
        <v>0</v>
      </c>
      <c r="O36" s="324"/>
      <c r="P36" s="324"/>
      <c r="Q36" s="682">
        <f t="shared" si="9"/>
        <v>0</v>
      </c>
      <c r="R36" s="683">
        <f t="shared" si="10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2">
        <f t="shared" si="2"/>
        <v>0</v>
      </c>
      <c r="H37" s="324"/>
      <c r="I37" s="324"/>
      <c r="J37" s="682">
        <f t="shared" si="6"/>
        <v>0</v>
      </c>
      <c r="K37" s="324">
        <v>0</v>
      </c>
      <c r="L37" s="324"/>
      <c r="M37" s="324"/>
      <c r="N37" s="682">
        <f t="shared" si="4"/>
        <v>0</v>
      </c>
      <c r="O37" s="324"/>
      <c r="P37" s="324"/>
      <c r="Q37" s="682">
        <f t="shared" si="9"/>
        <v>0</v>
      </c>
      <c r="R37" s="683">
        <f t="shared" si="10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2">
        <f t="shared" si="2"/>
        <v>0</v>
      </c>
      <c r="H38" s="324"/>
      <c r="I38" s="324"/>
      <c r="J38" s="682">
        <f t="shared" si="6"/>
        <v>0</v>
      </c>
      <c r="K38" s="324">
        <v>0</v>
      </c>
      <c r="L38" s="324"/>
      <c r="M38" s="324"/>
      <c r="N38" s="682">
        <f t="shared" si="4"/>
        <v>0</v>
      </c>
      <c r="O38" s="324"/>
      <c r="P38" s="324"/>
      <c r="Q38" s="682">
        <f t="shared" si="9"/>
        <v>0</v>
      </c>
      <c r="R38" s="683">
        <f t="shared" si="10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2">
        <f t="shared" si="2"/>
        <v>0</v>
      </c>
      <c r="H39" s="324"/>
      <c r="I39" s="324"/>
      <c r="J39" s="682">
        <f t="shared" si="6"/>
        <v>0</v>
      </c>
      <c r="K39" s="324">
        <v>0</v>
      </c>
      <c r="L39" s="324"/>
      <c r="M39" s="324"/>
      <c r="N39" s="682">
        <f t="shared" si="4"/>
        <v>0</v>
      </c>
      <c r="O39" s="324"/>
      <c r="P39" s="324"/>
      <c r="Q39" s="682">
        <f t="shared" si="9"/>
        <v>0</v>
      </c>
      <c r="R39" s="683">
        <f t="shared" si="10"/>
        <v>0</v>
      </c>
    </row>
    <row r="40" spans="1:18" ht="15.75">
      <c r="A40" s="327"/>
      <c r="B40" s="319" t="s">
        <v>577</v>
      </c>
      <c r="C40" s="156" t="s">
        <v>578</v>
      </c>
      <c r="D40" s="684">
        <f>D30+D31+D32+D33</f>
        <v>2510</v>
      </c>
      <c r="E40" s="684">
        <f aca="true" t="shared" si="12" ref="E40:R40">E30+E31+E32+E33</f>
        <v>0</v>
      </c>
      <c r="F40" s="684">
        <f t="shared" si="12"/>
        <v>0</v>
      </c>
      <c r="G40" s="684">
        <f t="shared" si="12"/>
        <v>2510</v>
      </c>
      <c r="H40" s="684">
        <f t="shared" si="12"/>
        <v>0</v>
      </c>
      <c r="I40" s="684">
        <f t="shared" si="12"/>
        <v>0</v>
      </c>
      <c r="J40" s="684">
        <f t="shared" si="12"/>
        <v>2510</v>
      </c>
      <c r="K40" s="684">
        <v>0</v>
      </c>
      <c r="L40" s="684">
        <f t="shared" si="12"/>
        <v>0</v>
      </c>
      <c r="M40" s="684">
        <f t="shared" si="12"/>
        <v>0</v>
      </c>
      <c r="N40" s="684">
        <f t="shared" si="12"/>
        <v>0</v>
      </c>
      <c r="O40" s="684">
        <f t="shared" si="12"/>
        <v>0</v>
      </c>
      <c r="P40" s="684">
        <f t="shared" si="12"/>
        <v>0</v>
      </c>
      <c r="Q40" s="684">
        <f t="shared" si="12"/>
        <v>0</v>
      </c>
      <c r="R40" s="684">
        <f t="shared" si="12"/>
        <v>2510</v>
      </c>
    </row>
    <row r="41" spans="1:18" ht="15.75">
      <c r="A41" s="328" t="s">
        <v>579</v>
      </c>
      <c r="B41" s="323" t="s">
        <v>580</v>
      </c>
      <c r="C41" s="156" t="s">
        <v>581</v>
      </c>
      <c r="D41" s="324"/>
      <c r="E41" s="324"/>
      <c r="F41" s="324"/>
      <c r="G41" s="682">
        <f t="shared" si="2"/>
        <v>0</v>
      </c>
      <c r="H41" s="324"/>
      <c r="I41" s="324"/>
      <c r="J41" s="682">
        <f t="shared" si="6"/>
        <v>0</v>
      </c>
      <c r="K41" s="324">
        <v>0</v>
      </c>
      <c r="L41" s="324"/>
      <c r="M41" s="324"/>
      <c r="N41" s="682">
        <f t="shared" si="4"/>
        <v>0</v>
      </c>
      <c r="O41" s="324"/>
      <c r="P41" s="324"/>
      <c r="Q41" s="682">
        <f t="shared" si="9"/>
        <v>0</v>
      </c>
      <c r="R41" s="683">
        <f t="shared" si="10"/>
        <v>0</v>
      </c>
    </row>
    <row r="42" spans="1:18" ht="16.5" thickBot="1">
      <c r="A42" s="330"/>
      <c r="B42" s="331" t="s">
        <v>582</v>
      </c>
      <c r="C42" s="332" t="s">
        <v>583</v>
      </c>
      <c r="D42" s="692">
        <f aca="true" t="shared" si="13" ref="D42:R42">D19+D20+D21+D27+D40+D41</f>
        <v>111470</v>
      </c>
      <c r="E42" s="692">
        <f t="shared" si="13"/>
        <v>7518</v>
      </c>
      <c r="F42" s="692">
        <f t="shared" si="13"/>
        <v>14335</v>
      </c>
      <c r="G42" s="692">
        <f t="shared" si="13"/>
        <v>104653</v>
      </c>
      <c r="H42" s="692">
        <f t="shared" si="13"/>
        <v>0</v>
      </c>
      <c r="I42" s="692">
        <f t="shared" si="13"/>
        <v>0</v>
      </c>
      <c r="J42" s="692">
        <f t="shared" si="13"/>
        <v>104653</v>
      </c>
      <c r="K42" s="692">
        <v>48344</v>
      </c>
      <c r="L42" s="692">
        <f t="shared" si="13"/>
        <v>1574</v>
      </c>
      <c r="M42" s="692">
        <f t="shared" si="13"/>
        <v>6638</v>
      </c>
      <c r="N42" s="692">
        <f t="shared" si="13"/>
        <v>43280</v>
      </c>
      <c r="O42" s="692">
        <f t="shared" si="13"/>
        <v>0</v>
      </c>
      <c r="P42" s="692">
        <f t="shared" si="13"/>
        <v>0</v>
      </c>
      <c r="Q42" s="692">
        <f t="shared" si="13"/>
        <v>43280</v>
      </c>
      <c r="R42" s="692">
        <f t="shared" si="13"/>
        <v>61373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5" t="s">
        <v>977</v>
      </c>
      <c r="C45" s="698">
        <f>pdeReportingDate</f>
        <v>45131</v>
      </c>
      <c r="D45" s="698"/>
      <c r="E45" s="698"/>
      <c r="F45" s="698"/>
      <c r="G45" s="698"/>
      <c r="H45" s="698"/>
      <c r="I45" s="698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5"/>
      <c r="C46" s="52"/>
      <c r="D46" s="52"/>
      <c r="E46" s="52"/>
      <c r="F46" s="52"/>
      <c r="G46" s="52"/>
      <c r="H46" s="52"/>
      <c r="I46" s="52"/>
    </row>
    <row r="47" spans="2:9" ht="15.75">
      <c r="B47" s="676" t="s">
        <v>8</v>
      </c>
      <c r="C47" s="699" t="str">
        <f>authorName</f>
        <v>Людмила Стамова</v>
      </c>
      <c r="D47" s="699"/>
      <c r="E47" s="699"/>
      <c r="F47" s="699"/>
      <c r="G47" s="699"/>
      <c r="H47" s="699"/>
      <c r="I47" s="699"/>
    </row>
    <row r="48" spans="2:9" ht="15.75">
      <c r="B48" s="676"/>
      <c r="C48" s="80"/>
      <c r="D48" s="80"/>
      <c r="E48" s="80"/>
      <c r="F48" s="80"/>
      <c r="G48" s="80"/>
      <c r="H48" s="80"/>
      <c r="I48" s="80"/>
    </row>
    <row r="49" spans="2:9" ht="15.75">
      <c r="B49" s="676" t="s">
        <v>920</v>
      </c>
      <c r="C49" s="700"/>
      <c r="D49" s="700"/>
      <c r="E49" s="700"/>
      <c r="F49" s="700"/>
      <c r="G49" s="700"/>
      <c r="H49" s="700"/>
      <c r="I49" s="700"/>
    </row>
    <row r="50" spans="2:9" ht="15.75" customHeight="1">
      <c r="B50" s="677"/>
      <c r="C50" s="697" t="s">
        <v>1000</v>
      </c>
      <c r="D50" s="697"/>
      <c r="E50" s="697"/>
      <c r="F50" s="697"/>
      <c r="G50" s="556"/>
      <c r="H50" s="45"/>
      <c r="I50" s="42"/>
    </row>
    <row r="51" spans="2:9" ht="15.75">
      <c r="B51" s="677"/>
      <c r="C51" s="697" t="s">
        <v>979</v>
      </c>
      <c r="D51" s="697"/>
      <c r="E51" s="697"/>
      <c r="F51" s="697"/>
      <c r="G51" s="556"/>
      <c r="H51" s="45"/>
      <c r="I51" s="42"/>
    </row>
    <row r="52" spans="2:9" ht="15.75">
      <c r="B52" s="677"/>
      <c r="C52" s="697" t="s">
        <v>979</v>
      </c>
      <c r="D52" s="697"/>
      <c r="E52" s="697"/>
      <c r="F52" s="697"/>
      <c r="G52" s="556"/>
      <c r="H52" s="45"/>
      <c r="I52" s="42"/>
    </row>
    <row r="53" spans="2:9" ht="15.75">
      <c r="B53" s="677"/>
      <c r="C53" s="697" t="s">
        <v>979</v>
      </c>
      <c r="D53" s="697"/>
      <c r="E53" s="697"/>
      <c r="F53" s="697"/>
      <c r="G53" s="556"/>
      <c r="H53" s="45"/>
      <c r="I53" s="42"/>
    </row>
    <row r="54" spans="2:9" ht="15.75">
      <c r="B54" s="677"/>
      <c r="C54" s="697"/>
      <c r="D54" s="697"/>
      <c r="E54" s="697"/>
      <c r="F54" s="697"/>
      <c r="G54" s="556"/>
      <c r="H54" s="45"/>
      <c r="I54" s="42"/>
    </row>
    <row r="55" spans="2:9" ht="15.75">
      <c r="B55" s="677"/>
      <c r="C55" s="697"/>
      <c r="D55" s="697"/>
      <c r="E55" s="697"/>
      <c r="F55" s="697"/>
      <c r="G55" s="556"/>
      <c r="H55" s="45"/>
      <c r="I55" s="42"/>
    </row>
    <row r="56" spans="2:9" ht="15.75">
      <c r="B56" s="677"/>
      <c r="C56" s="697"/>
      <c r="D56" s="697"/>
      <c r="E56" s="697"/>
      <c r="F56" s="697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SheetLayoutView="70" zoomScalePageLayoutView="0" workbookViewId="0" topLeftCell="A8">
      <selection activeCell="S31" sqref="S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7" t="s">
        <v>453</v>
      </c>
      <c r="B8" s="729" t="s">
        <v>11</v>
      </c>
      <c r="C8" s="725" t="s">
        <v>587</v>
      </c>
      <c r="D8" s="347" t="s">
        <v>588</v>
      </c>
      <c r="E8" s="348"/>
      <c r="F8" s="127"/>
    </row>
    <row r="9" spans="1:6" s="128" customFormat="1" ht="15.75">
      <c r="A9" s="728"/>
      <c r="B9" s="730"/>
      <c r="C9" s="726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222</v>
      </c>
      <c r="D26" s="344">
        <f>SUM(D27:D29)</f>
        <v>222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222</v>
      </c>
      <c r="D28" s="350">
        <f aca="true" t="shared" si="1" ref="D28:D34">C28</f>
        <v>222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t="shared" si="1"/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7397</v>
      </c>
      <c r="D30" s="350">
        <f t="shared" si="1"/>
        <v>7397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516</v>
      </c>
      <c r="D31" s="350">
        <f t="shared" si="1"/>
        <v>516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0</v>
      </c>
      <c r="D33" s="350">
        <f t="shared" si="1"/>
        <v>0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f>'1-Баланс'!C72-C33</f>
        <v>0</v>
      </c>
      <c r="D34" s="350">
        <f t="shared" si="1"/>
        <v>0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0</v>
      </c>
      <c r="D35" s="344">
        <f>SUM(D36:D39)</f>
        <v>0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/>
      <c r="D36" s="350">
        <f>C36</f>
        <v>0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/>
      <c r="D37" s="350">
        <f>C37</f>
        <v>0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>
        <f>C38</f>
        <v>0</v>
      </c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>
        <f>C39</f>
        <v>0</v>
      </c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495</v>
      </c>
      <c r="D40" s="344">
        <f>SUM(D41:D44)</f>
        <v>495</v>
      </c>
      <c r="E40" s="351">
        <f>SUM(E41:E44)</f>
        <v>0</v>
      </c>
      <c r="F40" s="133"/>
    </row>
    <row r="41" spans="1:6" ht="15.75">
      <c r="A41" s="352" t="s">
        <v>645</v>
      </c>
      <c r="B41" s="135" t="s">
        <v>646</v>
      </c>
      <c r="C41" s="350">
        <v>12</v>
      </c>
      <c r="D41" s="350">
        <f>C41</f>
        <v>12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>
        <f>C42</f>
        <v>0</v>
      </c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/>
      <c r="D43" s="350">
        <f>C43</f>
        <v>0</v>
      </c>
      <c r="E43" s="351">
        <f t="shared" si="0"/>
        <v>0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7'!C41</f>
        <v>483</v>
      </c>
      <c r="D44" s="350">
        <f>C44</f>
        <v>483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8630</v>
      </c>
      <c r="D45" s="420">
        <f>D26+D30+D31+D33+D32+D34+D35+D40</f>
        <v>8630</v>
      </c>
      <c r="E45" s="421">
        <f>E26+E30+E31+E33+E32+E34+E35+E40</f>
        <v>0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8630</v>
      </c>
      <c r="D46" s="426">
        <f>D45+D23+D21+D11</f>
        <v>8630</v>
      </c>
      <c r="E46" s="427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7" t="s">
        <v>453</v>
      </c>
      <c r="B50" s="729" t="s">
        <v>11</v>
      </c>
      <c r="C50" s="731" t="s">
        <v>658</v>
      </c>
      <c r="D50" s="347" t="s">
        <v>659</v>
      </c>
      <c r="E50" s="347"/>
      <c r="F50" s="733" t="s">
        <v>660</v>
      </c>
    </row>
    <row r="51" spans="1:6" s="128" customFormat="1" ht="18" customHeight="1">
      <c r="A51" s="728"/>
      <c r="B51" s="730"/>
      <c r="C51" s="732"/>
      <c r="D51" s="130" t="s">
        <v>589</v>
      </c>
      <c r="E51" s="130" t="s">
        <v>590</v>
      </c>
      <c r="F51" s="734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10647</v>
      </c>
      <c r="D54" s="138">
        <f>SUM(D55:D57)</f>
        <v>0</v>
      </c>
      <c r="E54" s="136">
        <f>C54-D54</f>
        <v>10647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10647</v>
      </c>
      <c r="D55" s="197"/>
      <c r="E55" s="136">
        <f>C55-D55</f>
        <v>10647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2126</v>
      </c>
      <c r="D66" s="197"/>
      <c r="E66" s="136">
        <f t="shared" si="2"/>
        <v>2126</v>
      </c>
      <c r="F66" s="196"/>
    </row>
    <row r="67" spans="1:6" ht="15.75">
      <c r="A67" s="352" t="s">
        <v>684</v>
      </c>
      <c r="B67" s="135" t="s">
        <v>685</v>
      </c>
      <c r="C67" s="197">
        <v>1848</v>
      </c>
      <c r="D67" s="197"/>
      <c r="E67" s="136">
        <f t="shared" si="2"/>
        <v>1848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12773</v>
      </c>
      <c r="D68" s="417">
        <f>D54+D58+D63+D64+D65+D66</f>
        <v>0</v>
      </c>
      <c r="E68" s="418">
        <f t="shared" si="2"/>
        <v>12773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894</v>
      </c>
      <c r="D70" s="197"/>
      <c r="E70" s="136">
        <f t="shared" si="2"/>
        <v>894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873</v>
      </c>
      <c r="D73" s="137">
        <f>SUM(D74:D76)</f>
        <v>873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873</v>
      </c>
      <c r="D74" s="197">
        <f>C74</f>
        <v>873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3694</v>
      </c>
      <c r="D77" s="138">
        <f>D78+D80</f>
        <v>3694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3694</v>
      </c>
      <c r="D78" s="197">
        <f>C78</f>
        <v>3694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14947</v>
      </c>
      <c r="D87" s="134">
        <f>SUM(D88:D92)+D96</f>
        <v>14947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11218</v>
      </c>
      <c r="D89" s="197">
        <f>C89</f>
        <v>11218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2188</v>
      </c>
      <c r="D90" s="197">
        <f>C90</f>
        <v>2188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870</v>
      </c>
      <c r="D91" s="197">
        <f>C91</f>
        <v>870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295</v>
      </c>
      <c r="D92" s="138">
        <f>SUM(D93:D95)</f>
        <v>295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v>79</v>
      </c>
      <c r="D94" s="197">
        <f>C94</f>
        <v>79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f>'1-Баланс'!G68-'Справка 7'!C94-'Справка 7'!C93</f>
        <v>216</v>
      </c>
      <c r="D95" s="197">
        <f>C95</f>
        <v>216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376</v>
      </c>
      <c r="D96" s="197">
        <f>C96</f>
        <v>376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200</v>
      </c>
      <c r="D97" s="197">
        <f>C97</f>
        <v>200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19714</v>
      </c>
      <c r="D98" s="415">
        <f>D87+D82+D77+D73+D97</f>
        <v>19714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33381</v>
      </c>
      <c r="D99" s="409">
        <f>D98+D70+D68</f>
        <v>19714</v>
      </c>
      <c r="E99" s="409">
        <f>E98+E70+E68</f>
        <v>13667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1307</v>
      </c>
      <c r="D106" s="280">
        <f>'1-Баланс'!G70-'1-Баланс'!H70</f>
        <v>37</v>
      </c>
      <c r="E106" s="280"/>
      <c r="F106" s="405">
        <f>C106+D106-E106</f>
        <v>1344</v>
      </c>
    </row>
    <row r="107" spans="1:6" ht="16.5" thickBot="1">
      <c r="A107" s="400" t="s">
        <v>752</v>
      </c>
      <c r="B107" s="406" t="s">
        <v>753</v>
      </c>
      <c r="C107" s="407">
        <f>SUM(C104:C106)</f>
        <v>1307</v>
      </c>
      <c r="D107" s="407">
        <f>SUM(D104:D106)</f>
        <v>37</v>
      </c>
      <c r="E107" s="407">
        <f>SUM(E104:E106)</f>
        <v>0</v>
      </c>
      <c r="F107" s="408">
        <f>SUM(F104:F106)</f>
        <v>1344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4" t="s">
        <v>841</v>
      </c>
      <c r="B109" s="724"/>
      <c r="C109" s="724"/>
      <c r="D109" s="724"/>
      <c r="E109" s="724"/>
      <c r="F109" s="72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5" t="s">
        <v>977</v>
      </c>
      <c r="B111" s="698">
        <f>pdeReportingDate</f>
        <v>45131</v>
      </c>
      <c r="C111" s="698"/>
      <c r="D111" s="698"/>
      <c r="E111" s="698"/>
      <c r="F111" s="698"/>
      <c r="G111" s="52"/>
      <c r="H111" s="52"/>
    </row>
    <row r="112" spans="1:8" ht="15.75">
      <c r="A112" s="675"/>
      <c r="B112" s="698"/>
      <c r="C112" s="698"/>
      <c r="D112" s="698"/>
      <c r="E112" s="698"/>
      <c r="F112" s="698"/>
      <c r="G112" s="52"/>
      <c r="H112" s="52"/>
    </row>
    <row r="113" spans="1:8" ht="15.75">
      <c r="A113" s="676" t="s">
        <v>8</v>
      </c>
      <c r="B113" s="699" t="str">
        <f>authorName</f>
        <v>Людмила Стамова</v>
      </c>
      <c r="C113" s="699"/>
      <c r="D113" s="699"/>
      <c r="E113" s="699"/>
      <c r="F113" s="699"/>
      <c r="G113" s="80"/>
      <c r="H113" s="80"/>
    </row>
    <row r="114" spans="1:8" ht="15.75">
      <c r="A114" s="676"/>
      <c r="B114" s="699"/>
      <c r="C114" s="699"/>
      <c r="D114" s="699"/>
      <c r="E114" s="699"/>
      <c r="F114" s="699"/>
      <c r="G114" s="80"/>
      <c r="H114" s="80"/>
    </row>
    <row r="115" spans="1:8" ht="15.75">
      <c r="A115" s="676" t="s">
        <v>920</v>
      </c>
      <c r="B115" s="700"/>
      <c r="C115" s="700"/>
      <c r="D115" s="700"/>
      <c r="E115" s="700"/>
      <c r="F115" s="700"/>
      <c r="G115" s="82"/>
      <c r="H115" s="82"/>
    </row>
    <row r="116" spans="1:8" ht="15.75" customHeight="1">
      <c r="A116" s="677"/>
      <c r="B116" s="697" t="s">
        <v>1000</v>
      </c>
      <c r="C116" s="697"/>
      <c r="D116" s="697"/>
      <c r="E116" s="697"/>
      <c r="F116" s="697"/>
      <c r="G116" s="677"/>
      <c r="H116" s="677"/>
    </row>
    <row r="117" spans="1:8" ht="15.75" customHeight="1">
      <c r="A117" s="677"/>
      <c r="B117" s="697" t="s">
        <v>979</v>
      </c>
      <c r="C117" s="697"/>
      <c r="D117" s="697"/>
      <c r="E117" s="697"/>
      <c r="F117" s="697"/>
      <c r="G117" s="677"/>
      <c r="H117" s="677"/>
    </row>
    <row r="118" spans="1:8" ht="15.75" customHeight="1">
      <c r="A118" s="677"/>
      <c r="B118" s="697" t="s">
        <v>979</v>
      </c>
      <c r="C118" s="697"/>
      <c r="D118" s="697"/>
      <c r="E118" s="697"/>
      <c r="F118" s="697"/>
      <c r="G118" s="677"/>
      <c r="H118" s="677"/>
    </row>
    <row r="119" spans="1:8" ht="15.75" customHeight="1">
      <c r="A119" s="677"/>
      <c r="B119" s="697" t="s">
        <v>979</v>
      </c>
      <c r="C119" s="697"/>
      <c r="D119" s="697"/>
      <c r="E119" s="697"/>
      <c r="F119" s="697"/>
      <c r="G119" s="677"/>
      <c r="H119" s="677"/>
    </row>
    <row r="120" spans="1:8" ht="15.75">
      <c r="A120" s="677"/>
      <c r="B120" s="697"/>
      <c r="C120" s="697"/>
      <c r="D120" s="697"/>
      <c r="E120" s="697"/>
      <c r="F120" s="697"/>
      <c r="G120" s="677"/>
      <c r="H120" s="677"/>
    </row>
    <row r="121" spans="1:8" ht="15.75">
      <c r="A121" s="677"/>
      <c r="B121" s="697"/>
      <c r="C121" s="697"/>
      <c r="D121" s="697"/>
      <c r="E121" s="697"/>
      <c r="F121" s="697"/>
      <c r="G121" s="677"/>
      <c r="H121" s="677"/>
    </row>
    <row r="122" spans="1:8" ht="15.75">
      <c r="A122" s="677"/>
      <c r="B122" s="697"/>
      <c r="C122" s="697"/>
      <c r="D122" s="697"/>
      <c r="E122" s="697"/>
      <c r="F122" s="697"/>
      <c r="G122" s="677"/>
      <c r="H122" s="67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3" t="s">
        <v>934</v>
      </c>
      <c r="B1" s="644"/>
      <c r="C1" s="644"/>
      <c r="D1" s="644"/>
      <c r="E1" s="644"/>
      <c r="F1" s="644"/>
      <c r="G1" s="644"/>
      <c r="H1" s="644"/>
      <c r="I1" s="644"/>
      <c r="J1" s="645"/>
    </row>
    <row r="2" spans="1:10" ht="15.75">
      <c r="A2" s="644" t="str">
        <f>CONCATENATE("на информацията, въведена в справките на ",UPPER(pdeName))</f>
        <v>на информацията, въведена в справките на ТОПЛИВО АД</v>
      </c>
      <c r="B2" s="644"/>
      <c r="C2" s="644"/>
      <c r="D2" s="644"/>
      <c r="E2" s="644"/>
      <c r="F2" s="644"/>
      <c r="G2" s="644"/>
      <c r="H2" s="644"/>
      <c r="I2" s="644"/>
      <c r="J2" s="645"/>
    </row>
    <row r="3" spans="1:10" ht="15.75">
      <c r="A3" s="644" t="str">
        <f>CONCATENATE("за периода от ",TEXT(startDate,"dd.mm.yyyy г.")," до ",TEXT(endDate,"dd.mm.yyyy г."))</f>
        <v>за периода от 01.01.2023 г. до 30.06.2023 г.</v>
      </c>
      <c r="B3" s="646"/>
      <c r="C3" s="646"/>
      <c r="D3" s="646"/>
      <c r="E3" s="646"/>
      <c r="F3" s="646"/>
      <c r="G3" s="646"/>
      <c r="H3" s="646"/>
      <c r="I3" s="646"/>
      <c r="J3" s="647"/>
    </row>
    <row r="5" spans="1:7" ht="25.5" customHeight="1">
      <c r="A5" s="650" t="s">
        <v>935</v>
      </c>
      <c r="B5" s="652" t="s">
        <v>937</v>
      </c>
      <c r="C5" s="653" t="s">
        <v>939</v>
      </c>
      <c r="D5" s="654" t="s">
        <v>941</v>
      </c>
      <c r="E5" s="653" t="s">
        <v>940</v>
      </c>
      <c r="F5" s="652" t="s">
        <v>938</v>
      </c>
      <c r="G5" s="651" t="s">
        <v>936</v>
      </c>
    </row>
    <row r="6" spans="1:7" ht="18.75" customHeight="1">
      <c r="A6" s="657" t="s">
        <v>984</v>
      </c>
      <c r="B6" s="648" t="s">
        <v>946</v>
      </c>
      <c r="C6" s="655">
        <f>'1-Баланс'!C95</f>
        <v>115772</v>
      </c>
      <c r="D6" s="656">
        <f aca="true" t="shared" si="0" ref="D6:D15">C6-E6</f>
        <v>0</v>
      </c>
      <c r="E6" s="655">
        <f>'1-Баланс'!G95</f>
        <v>115772</v>
      </c>
      <c r="F6" s="649" t="s">
        <v>947</v>
      </c>
      <c r="G6" s="657" t="s">
        <v>984</v>
      </c>
    </row>
    <row r="7" spans="1:7" ht="18.75" customHeight="1">
      <c r="A7" s="657" t="s">
        <v>984</v>
      </c>
      <c r="B7" s="648" t="s">
        <v>945</v>
      </c>
      <c r="C7" s="655">
        <f>'1-Баланс'!G37</f>
        <v>81007</v>
      </c>
      <c r="D7" s="656">
        <f t="shared" si="0"/>
        <v>75590</v>
      </c>
      <c r="E7" s="655">
        <f>'1-Баланс'!G18</f>
        <v>5417</v>
      </c>
      <c r="F7" s="649" t="s">
        <v>455</v>
      </c>
      <c r="G7" s="657" t="s">
        <v>984</v>
      </c>
    </row>
    <row r="8" spans="1:7" ht="18.75" customHeight="1">
      <c r="A8" s="657" t="s">
        <v>984</v>
      </c>
      <c r="B8" s="648" t="s">
        <v>943</v>
      </c>
      <c r="C8" s="655">
        <f>ABS('1-Баланс'!G32)-ABS('1-Баланс'!G33)</f>
        <v>-6438</v>
      </c>
      <c r="D8" s="656">
        <f t="shared" si="0"/>
        <v>0</v>
      </c>
      <c r="E8" s="655">
        <f>ABS('2-Отчет за доходите'!C44)-ABS('2-Отчет за доходите'!G44)</f>
        <v>-6438</v>
      </c>
      <c r="F8" s="649" t="s">
        <v>944</v>
      </c>
      <c r="G8" s="658" t="s">
        <v>986</v>
      </c>
    </row>
    <row r="9" spans="1:7" ht="18.75" customHeight="1">
      <c r="A9" s="657" t="s">
        <v>984</v>
      </c>
      <c r="B9" s="648" t="s">
        <v>949</v>
      </c>
      <c r="C9" s="655">
        <f>'1-Баланс'!D92</f>
        <v>4620</v>
      </c>
      <c r="D9" s="656">
        <f t="shared" si="0"/>
        <v>0</v>
      </c>
      <c r="E9" s="655">
        <f>'3-Отчет за паричния поток'!C45</f>
        <v>4620</v>
      </c>
      <c r="F9" s="649" t="s">
        <v>948</v>
      </c>
      <c r="G9" s="658" t="s">
        <v>985</v>
      </c>
    </row>
    <row r="10" spans="1:7" ht="18.75" customHeight="1">
      <c r="A10" s="657" t="s">
        <v>984</v>
      </c>
      <c r="B10" s="648" t="s">
        <v>950</v>
      </c>
      <c r="C10" s="655">
        <f>'1-Баланс'!C92</f>
        <v>2804</v>
      </c>
      <c r="D10" s="656">
        <f t="shared" si="0"/>
        <v>0</v>
      </c>
      <c r="E10" s="655">
        <f>'3-Отчет за паричния поток'!C46</f>
        <v>2804</v>
      </c>
      <c r="F10" s="649" t="s">
        <v>951</v>
      </c>
      <c r="G10" s="658" t="s">
        <v>985</v>
      </c>
    </row>
    <row r="11" spans="1:7" ht="18.75" customHeight="1">
      <c r="A11" s="657" t="s">
        <v>984</v>
      </c>
      <c r="B11" s="648" t="s">
        <v>945</v>
      </c>
      <c r="C11" s="655">
        <f>'1-Баланс'!G37</f>
        <v>81007</v>
      </c>
      <c r="D11" s="656">
        <f t="shared" si="0"/>
        <v>-0.013190000026952475</v>
      </c>
      <c r="E11" s="655">
        <f>'4-Отчет за собствения капитал'!L34</f>
        <v>81007.01319000003</v>
      </c>
      <c r="F11" s="649" t="s">
        <v>952</v>
      </c>
      <c r="G11" s="658" t="s">
        <v>987</v>
      </c>
    </row>
    <row r="12" spans="1:7" ht="18.75" customHeight="1">
      <c r="A12" s="657" t="s">
        <v>984</v>
      </c>
      <c r="B12" s="648" t="s">
        <v>953</v>
      </c>
      <c r="C12" s="655">
        <f>'1-Баланс'!C36</f>
        <v>0</v>
      </c>
      <c r="D12" s="656">
        <f t="shared" si="0"/>
        <v>0</v>
      </c>
      <c r="E12" s="655">
        <f>'Справка 5'!C27+'Справка 5'!C97</f>
        <v>0</v>
      </c>
      <c r="F12" s="649" t="s">
        <v>957</v>
      </c>
      <c r="G12" s="658" t="s">
        <v>988</v>
      </c>
    </row>
    <row r="13" spans="1:7" ht="18.75" customHeight="1">
      <c r="A13" s="657" t="s">
        <v>984</v>
      </c>
      <c r="B13" s="648" t="s">
        <v>954</v>
      </c>
      <c r="C13" s="655">
        <f>'1-Баланс'!C37</f>
        <v>0</v>
      </c>
      <c r="D13" s="656">
        <f t="shared" si="0"/>
        <v>0</v>
      </c>
      <c r="E13" s="655">
        <f>'Справка 5'!C44+'Справка 5'!C114</f>
        <v>0</v>
      </c>
      <c r="F13" s="649" t="s">
        <v>958</v>
      </c>
      <c r="G13" s="658" t="s">
        <v>988</v>
      </c>
    </row>
    <row r="14" spans="1:7" ht="18.75" customHeight="1">
      <c r="A14" s="657" t="s">
        <v>984</v>
      </c>
      <c r="B14" s="648" t="s">
        <v>955</v>
      </c>
      <c r="C14" s="655">
        <f>'1-Баланс'!C38</f>
        <v>2510</v>
      </c>
      <c r="D14" s="656">
        <f t="shared" si="0"/>
        <v>0</v>
      </c>
      <c r="E14" s="655">
        <f>'Справка 5'!C61+'Справка 5'!C131</f>
        <v>2510</v>
      </c>
      <c r="F14" s="649" t="s">
        <v>959</v>
      </c>
      <c r="G14" s="658" t="s">
        <v>988</v>
      </c>
    </row>
    <row r="15" spans="1:7" ht="18.75" customHeight="1">
      <c r="A15" s="657" t="s">
        <v>984</v>
      </c>
      <c r="B15" s="648" t="s">
        <v>956</v>
      </c>
      <c r="C15" s="655">
        <f>'1-Баланс'!C39</f>
        <v>0</v>
      </c>
      <c r="D15" s="656">
        <f t="shared" si="0"/>
        <v>0</v>
      </c>
      <c r="E15" s="655">
        <f>'Справка 5'!C148+'Справка 5'!C78</f>
        <v>0</v>
      </c>
      <c r="F15" s="649" t="s">
        <v>960</v>
      </c>
      <c r="G15" s="65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2023-07-25T09:14:22Z</cp:lastPrinted>
  <dcterms:created xsi:type="dcterms:W3CDTF">2006-09-16T00:00:00Z</dcterms:created>
  <dcterms:modified xsi:type="dcterms:W3CDTF">2023-07-26T11:41:41Z</dcterms:modified>
  <cp:category/>
  <cp:version/>
  <cp:contentType/>
  <cp:contentStatus/>
</cp:coreProperties>
</file>